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315" yWindow="60" windowWidth="15480" windowHeight="11640" activeTab="1"/>
  </bookViews>
  <sheets>
    <sheet name="Instructions" sheetId="5" r:id="rId1"/>
    <sheet name="QRC4 Form" sheetId="4" r:id="rId2"/>
    <sheet name="Validation" sheetId="2" r:id="rId3"/>
    <sheet name="Parameters" sheetId="6" r:id="rId4"/>
    <sheet name="Data" sheetId="3" r:id="rId5"/>
  </sheets>
  <definedNames>
    <definedName name="_xlnm._FilterDatabase" localSheetId="4" hidden="1">Data!#REF!</definedName>
    <definedName name="_QRC4">'QRC4 Form'!$AH$185:$AH$188</definedName>
    <definedName name="CONTACT">'QRC4 Form'!$AH$190:$AL$190</definedName>
    <definedName name="datar">Data!$A$12:$AM$338</definedName>
    <definedName name="LAlist">Data!$B$12:$B$338</definedName>
    <definedName name="lanames">Data!$B$12:$B$338</definedName>
    <definedName name="_xlnm.Print_Area" localSheetId="0">Instructions!$A$1:$D$54</definedName>
    <definedName name="_xlnm.Print_Area" localSheetId="1">'QRC4 Form'!$A$1:$L$151</definedName>
    <definedName name="_xlnm.Print_Area" localSheetId="2">Validation!$A$1:$K$187</definedName>
    <definedName name="_xlnm.Print_Titles" localSheetId="4">Data!$A:$C,Data!$1:$10</definedName>
    <definedName name="Table">Data!$A$12:$C$338</definedName>
  </definedNames>
  <calcPr calcId="114210" fullCalcOnLoad="1"/>
</workbook>
</file>

<file path=xl/calcChain.xml><?xml version="1.0" encoding="utf-8"?>
<calcChain xmlns="http://schemas.openxmlformats.org/spreadsheetml/2006/main">
  <c r="E168" i="2"/>
  <c r="AM12" i="3"/>
  <c r="AM13"/>
  <c r="AM14"/>
  <c r="AM15"/>
  <c r="AM16"/>
  <c r="AM17"/>
  <c r="AM18"/>
  <c r="AM19"/>
  <c r="AM20"/>
  <c r="AM21"/>
  <c r="AM22"/>
  <c r="AM23"/>
  <c r="AM24"/>
  <c r="AM25"/>
  <c r="AM26"/>
  <c r="AM27"/>
  <c r="AM28"/>
  <c r="AM29"/>
  <c r="AM30"/>
  <c r="AM31"/>
  <c r="AM32"/>
  <c r="AM33"/>
  <c r="AM34"/>
  <c r="AM35"/>
  <c r="AM36"/>
  <c r="AM37"/>
  <c r="AM38"/>
  <c r="AM39"/>
  <c r="AM40"/>
  <c r="AM41"/>
  <c r="AM42"/>
  <c r="AM43"/>
  <c r="AM44"/>
  <c r="AM45"/>
  <c r="AM46"/>
  <c r="AM47"/>
  <c r="AM48"/>
  <c r="AM49"/>
  <c r="AM50"/>
  <c r="AM51"/>
  <c r="AM52"/>
  <c r="AM53"/>
  <c r="AM54"/>
  <c r="AM55"/>
  <c r="AM56"/>
  <c r="AM57"/>
  <c r="AM58"/>
  <c r="AM59"/>
  <c r="AM60"/>
  <c r="AM61"/>
  <c r="AM62"/>
  <c r="AM63"/>
  <c r="AM64"/>
  <c r="AM65"/>
  <c r="AM66"/>
  <c r="AM67"/>
  <c r="AM68"/>
  <c r="AM69"/>
  <c r="AM70"/>
  <c r="AM71"/>
  <c r="AM72"/>
  <c r="AM73"/>
  <c r="AM74"/>
  <c r="AM75"/>
  <c r="AM76"/>
  <c r="AM77"/>
  <c r="AM78"/>
  <c r="AM79"/>
  <c r="AM80"/>
  <c r="AM81"/>
  <c r="AM82"/>
  <c r="AM83"/>
  <c r="AM84"/>
  <c r="AM85"/>
  <c r="AM86"/>
  <c r="AM87"/>
  <c r="AM88"/>
  <c r="AM89"/>
  <c r="AM90"/>
  <c r="AM91"/>
  <c r="AM92"/>
  <c r="AM93"/>
  <c r="AM94"/>
  <c r="AM95"/>
  <c r="AM96"/>
  <c r="AM97"/>
  <c r="AM98"/>
  <c r="AM99"/>
  <c r="AM100"/>
  <c r="AM101"/>
  <c r="AM102"/>
  <c r="AM103"/>
  <c r="AM104"/>
  <c r="AM105"/>
  <c r="AM106"/>
  <c r="AM107"/>
  <c r="AM108"/>
  <c r="AM109"/>
  <c r="AM110"/>
  <c r="AM111"/>
  <c r="AM112"/>
  <c r="AM113"/>
  <c r="AM114"/>
  <c r="AM115"/>
  <c r="AM116"/>
  <c r="AM117"/>
  <c r="AM118"/>
  <c r="AM119"/>
  <c r="AM120"/>
  <c r="AM121"/>
  <c r="AM122"/>
  <c r="AM123"/>
  <c r="AM124"/>
  <c r="AM125"/>
  <c r="AM126"/>
  <c r="AM127"/>
  <c r="AM128"/>
  <c r="AM129"/>
  <c r="AM130"/>
  <c r="AM131"/>
  <c r="AM132"/>
  <c r="AM133"/>
  <c r="AM134"/>
  <c r="AM135"/>
  <c r="AM136"/>
  <c r="AM137"/>
  <c r="AM138"/>
  <c r="AM139"/>
  <c r="AM140"/>
  <c r="AM141"/>
  <c r="AM142"/>
  <c r="AM143"/>
  <c r="AM144"/>
  <c r="AM145"/>
  <c r="AM146"/>
  <c r="AM147"/>
  <c r="AM148"/>
  <c r="AM149"/>
  <c r="AM150"/>
  <c r="AM151"/>
  <c r="AM152"/>
  <c r="AM153"/>
  <c r="AM154"/>
  <c r="AM155"/>
  <c r="AM156"/>
  <c r="AM157"/>
  <c r="AM158"/>
  <c r="AM159"/>
  <c r="AM160"/>
  <c r="AM161"/>
  <c r="AM162"/>
  <c r="AM163"/>
  <c r="AM164"/>
  <c r="AM165"/>
  <c r="AM166"/>
  <c r="AM167"/>
  <c r="AM168"/>
  <c r="AM169"/>
  <c r="AM170"/>
  <c r="AM171"/>
  <c r="AM172"/>
  <c r="AM173"/>
  <c r="AM174"/>
  <c r="AM175"/>
  <c r="AM176"/>
  <c r="AM177"/>
  <c r="AM178"/>
  <c r="AM179"/>
  <c r="AM180"/>
  <c r="AM181"/>
  <c r="AM182"/>
  <c r="AM183"/>
  <c r="AM184"/>
  <c r="AM185"/>
  <c r="AM186"/>
  <c r="AM187"/>
  <c r="AM188"/>
  <c r="AM189"/>
  <c r="AM190"/>
  <c r="AM191"/>
  <c r="AM192"/>
  <c r="AM193"/>
  <c r="AM194"/>
  <c r="AM195"/>
  <c r="AM196"/>
  <c r="AM197"/>
  <c r="AM198"/>
  <c r="AM199"/>
  <c r="AM200"/>
  <c r="AM201"/>
  <c r="AM202"/>
  <c r="AM203"/>
  <c r="AM204"/>
  <c r="AM205"/>
  <c r="AM206"/>
  <c r="AM207"/>
  <c r="AM208"/>
  <c r="AM209"/>
  <c r="AM210"/>
  <c r="AM211"/>
  <c r="AM212"/>
  <c r="AM213"/>
  <c r="AM214"/>
  <c r="AM215"/>
  <c r="AM216"/>
  <c r="AM217"/>
  <c r="AM218"/>
  <c r="AM219"/>
  <c r="AM220"/>
  <c r="AM221"/>
  <c r="AM222"/>
  <c r="AM223"/>
  <c r="AM224"/>
  <c r="AM225"/>
  <c r="AM226"/>
  <c r="AM227"/>
  <c r="AM228"/>
  <c r="AM229"/>
  <c r="AM230"/>
  <c r="AM231"/>
  <c r="AM232"/>
  <c r="AM233"/>
  <c r="AM234"/>
  <c r="AM235"/>
  <c r="AM236"/>
  <c r="AM237"/>
  <c r="AM238"/>
  <c r="AM239"/>
  <c r="AM240"/>
  <c r="AM241"/>
  <c r="AM242"/>
  <c r="AM243"/>
  <c r="AM244"/>
  <c r="AM245"/>
  <c r="AM246"/>
  <c r="AM247"/>
  <c r="AM248"/>
  <c r="AM249"/>
  <c r="AM250"/>
  <c r="AM251"/>
  <c r="AM252"/>
  <c r="AM253"/>
  <c r="AM254"/>
  <c r="AM255"/>
  <c r="AM256"/>
  <c r="AM257"/>
  <c r="AM258"/>
  <c r="AM259"/>
  <c r="AM260"/>
  <c r="AM261"/>
  <c r="AM262"/>
  <c r="AM263"/>
  <c r="AM264"/>
  <c r="AM265"/>
  <c r="AM266"/>
  <c r="AM267"/>
  <c r="AM268"/>
  <c r="AM269"/>
  <c r="AM270"/>
  <c r="AM271"/>
  <c r="AM272"/>
  <c r="AM273"/>
  <c r="AM274"/>
  <c r="AM275"/>
  <c r="AM276"/>
  <c r="AM277"/>
  <c r="AM278"/>
  <c r="AM279"/>
  <c r="AM280"/>
  <c r="AM281"/>
  <c r="AM282"/>
  <c r="AM283"/>
  <c r="AM284"/>
  <c r="AM285"/>
  <c r="AM286"/>
  <c r="AM287"/>
  <c r="AM288"/>
  <c r="AM289"/>
  <c r="AM290"/>
  <c r="AM291"/>
  <c r="AM292"/>
  <c r="AM293"/>
  <c r="AM294"/>
  <c r="AM295"/>
  <c r="AM296"/>
  <c r="AM297"/>
  <c r="AM298"/>
  <c r="AM299"/>
  <c r="AM300"/>
  <c r="AM301"/>
  <c r="AM302"/>
  <c r="AM303"/>
  <c r="AM304"/>
  <c r="AM305"/>
  <c r="AM306"/>
  <c r="AM307"/>
  <c r="AM308"/>
  <c r="AM309"/>
  <c r="AM310"/>
  <c r="AM311"/>
  <c r="AM312"/>
  <c r="AM313"/>
  <c r="AM314"/>
  <c r="AM315"/>
  <c r="AM316"/>
  <c r="AM317"/>
  <c r="AM318"/>
  <c r="AM319"/>
  <c r="AM320"/>
  <c r="AM321"/>
  <c r="AM322"/>
  <c r="AM323"/>
  <c r="AM324"/>
  <c r="AM325"/>
  <c r="AM326"/>
  <c r="AM327"/>
  <c r="AM328"/>
  <c r="AM329"/>
  <c r="AM330"/>
  <c r="AM331"/>
  <c r="AM332"/>
  <c r="AM333"/>
  <c r="AM334"/>
  <c r="AM335"/>
  <c r="AM336"/>
  <c r="AM337"/>
  <c r="Y338"/>
  <c r="I39" i="4"/>
  <c r="I42"/>
  <c r="AN181"/>
  <c r="L338" i="3"/>
  <c r="M338"/>
  <c r="N338"/>
  <c r="E338"/>
  <c r="E26" i="2"/>
  <c r="F338" i="3"/>
  <c r="E37" i="2"/>
  <c r="H338" i="3"/>
  <c r="I338"/>
  <c r="F26" i="2"/>
  <c r="J338" i="3"/>
  <c r="F37" i="2"/>
  <c r="O12" i="3"/>
  <c r="O13"/>
  <c r="O14"/>
  <c r="O15"/>
  <c r="O16"/>
  <c r="O17"/>
  <c r="O18"/>
  <c r="O19"/>
  <c r="O20"/>
  <c r="O21"/>
  <c r="O22"/>
  <c r="O23"/>
  <c r="O24"/>
  <c r="O25"/>
  <c r="O26"/>
  <c r="O27"/>
  <c r="O28"/>
  <c r="O29"/>
  <c r="O30"/>
  <c r="O31"/>
  <c r="O32"/>
  <c r="O33"/>
  <c r="O34"/>
  <c r="O35"/>
  <c r="O36"/>
  <c r="O37"/>
  <c r="O38"/>
  <c r="O39"/>
  <c r="O40"/>
  <c r="O41"/>
  <c r="O42"/>
  <c r="O43"/>
  <c r="O44"/>
  <c r="O45"/>
  <c r="O46"/>
  <c r="O47"/>
  <c r="O48"/>
  <c r="O49"/>
  <c r="O50"/>
  <c r="O51"/>
  <c r="O52"/>
  <c r="O53"/>
  <c r="O54"/>
  <c r="O55"/>
  <c r="O56"/>
  <c r="O57"/>
  <c r="O58"/>
  <c r="O59"/>
  <c r="O60"/>
  <c r="O61"/>
  <c r="O62"/>
  <c r="O63"/>
  <c r="O64"/>
  <c r="O65"/>
  <c r="O66"/>
  <c r="O67"/>
  <c r="O68"/>
  <c r="O69"/>
  <c r="O70"/>
  <c r="O71"/>
  <c r="O72"/>
  <c r="O73"/>
  <c r="O74"/>
  <c r="O75"/>
  <c r="O76"/>
  <c r="O77"/>
  <c r="O78"/>
  <c r="O79"/>
  <c r="O80"/>
  <c r="O81"/>
  <c r="O82"/>
  <c r="O83"/>
  <c r="O84"/>
  <c r="O85"/>
  <c r="O86"/>
  <c r="O87"/>
  <c r="O88"/>
  <c r="O89"/>
  <c r="O90"/>
  <c r="O91"/>
  <c r="O92"/>
  <c r="O93"/>
  <c r="O94"/>
  <c r="O95"/>
  <c r="O96"/>
  <c r="O97"/>
  <c r="O98"/>
  <c r="O99"/>
  <c r="O100"/>
  <c r="O101"/>
  <c r="O102"/>
  <c r="O103"/>
  <c r="O104"/>
  <c r="O105"/>
  <c r="O106"/>
  <c r="O107"/>
  <c r="O108"/>
  <c r="O109"/>
  <c r="O110"/>
  <c r="O111"/>
  <c r="O112"/>
  <c r="O113"/>
  <c r="O114"/>
  <c r="O115"/>
  <c r="O116"/>
  <c r="O117"/>
  <c r="O118"/>
  <c r="O119"/>
  <c r="O120"/>
  <c r="O121"/>
  <c r="O122"/>
  <c r="O123"/>
  <c r="O124"/>
  <c r="O125"/>
  <c r="O126"/>
  <c r="O127"/>
  <c r="O128"/>
  <c r="O129"/>
  <c r="O130"/>
  <c r="O131"/>
  <c r="O132"/>
  <c r="O133"/>
  <c r="O134"/>
  <c r="O135"/>
  <c r="O136"/>
  <c r="O137"/>
  <c r="O138"/>
  <c r="O139"/>
  <c r="O140"/>
  <c r="O141"/>
  <c r="O142"/>
  <c r="O143"/>
  <c r="O144"/>
  <c r="O145"/>
  <c r="O146"/>
  <c r="O147"/>
  <c r="O148"/>
  <c r="O149"/>
  <c r="O150"/>
  <c r="O151"/>
  <c r="O152"/>
  <c r="O153"/>
  <c r="O154"/>
  <c r="O155"/>
  <c r="O156"/>
  <c r="O157"/>
  <c r="O158"/>
  <c r="O159"/>
  <c r="O160"/>
  <c r="O161"/>
  <c r="O162"/>
  <c r="O163"/>
  <c r="O164"/>
  <c r="O165"/>
  <c r="O166"/>
  <c r="O167"/>
  <c r="O168"/>
  <c r="O169"/>
  <c r="O170"/>
  <c r="O171"/>
  <c r="O172"/>
  <c r="O173"/>
  <c r="O174"/>
  <c r="O175"/>
  <c r="O176"/>
  <c r="O177"/>
  <c r="O178"/>
  <c r="O179"/>
  <c r="O180"/>
  <c r="O181"/>
  <c r="O182"/>
  <c r="O183"/>
  <c r="O184"/>
  <c r="O185"/>
  <c r="O186"/>
  <c r="O187"/>
  <c r="O188"/>
  <c r="O189"/>
  <c r="O190"/>
  <c r="O191"/>
  <c r="O192"/>
  <c r="O193"/>
  <c r="O194"/>
  <c r="O195"/>
  <c r="O196"/>
  <c r="O197"/>
  <c r="O198"/>
  <c r="O199"/>
  <c r="O200"/>
  <c r="O201"/>
  <c r="O202"/>
  <c r="O203"/>
  <c r="O204"/>
  <c r="O205"/>
  <c r="O206"/>
  <c r="O207"/>
  <c r="O208"/>
  <c r="O209"/>
  <c r="O210"/>
  <c r="O211"/>
  <c r="O212"/>
  <c r="O213"/>
  <c r="O214"/>
  <c r="O215"/>
  <c r="O216"/>
  <c r="O217"/>
  <c r="O218"/>
  <c r="O219"/>
  <c r="O220"/>
  <c r="O221"/>
  <c r="O222"/>
  <c r="O223"/>
  <c r="O224"/>
  <c r="O225"/>
  <c r="O226"/>
  <c r="O227"/>
  <c r="O228"/>
  <c r="O229"/>
  <c r="O230"/>
  <c r="O231"/>
  <c r="O232"/>
  <c r="O233"/>
  <c r="O234"/>
  <c r="O235"/>
  <c r="O236"/>
  <c r="O237"/>
  <c r="O238"/>
  <c r="O239"/>
  <c r="O240"/>
  <c r="O241"/>
  <c r="O242"/>
  <c r="O243"/>
  <c r="O244"/>
  <c r="O245"/>
  <c r="O246"/>
  <c r="O247"/>
  <c r="O248"/>
  <c r="O249"/>
  <c r="O250"/>
  <c r="O251"/>
  <c r="O252"/>
  <c r="O253"/>
  <c r="O254"/>
  <c r="O255"/>
  <c r="O256"/>
  <c r="O257"/>
  <c r="O258"/>
  <c r="O259"/>
  <c r="O260"/>
  <c r="O261"/>
  <c r="O262"/>
  <c r="O263"/>
  <c r="O264"/>
  <c r="O265"/>
  <c r="O266"/>
  <c r="O267"/>
  <c r="O268"/>
  <c r="O269"/>
  <c r="O270"/>
  <c r="O271"/>
  <c r="O272"/>
  <c r="O273"/>
  <c r="O274"/>
  <c r="O275"/>
  <c r="O276"/>
  <c r="O277"/>
  <c r="O278"/>
  <c r="O279"/>
  <c r="O280"/>
  <c r="O281"/>
  <c r="O282"/>
  <c r="O283"/>
  <c r="O284"/>
  <c r="O285"/>
  <c r="O286"/>
  <c r="O287"/>
  <c r="O288"/>
  <c r="O289"/>
  <c r="O290"/>
  <c r="O291"/>
  <c r="O292"/>
  <c r="O293"/>
  <c r="O294"/>
  <c r="O295"/>
  <c r="O296"/>
  <c r="O297"/>
  <c r="O298"/>
  <c r="O299"/>
  <c r="O300"/>
  <c r="O301"/>
  <c r="O302"/>
  <c r="O303"/>
  <c r="O304"/>
  <c r="O305"/>
  <c r="O306"/>
  <c r="O307"/>
  <c r="O308"/>
  <c r="O309"/>
  <c r="O310"/>
  <c r="O311"/>
  <c r="O312"/>
  <c r="O313"/>
  <c r="O314"/>
  <c r="O315"/>
  <c r="O316"/>
  <c r="O317"/>
  <c r="O318"/>
  <c r="O319"/>
  <c r="O320"/>
  <c r="O321"/>
  <c r="O322"/>
  <c r="O323"/>
  <c r="O324"/>
  <c r="O325"/>
  <c r="O326"/>
  <c r="O327"/>
  <c r="O328"/>
  <c r="O329"/>
  <c r="O330"/>
  <c r="O331"/>
  <c r="O332"/>
  <c r="O333"/>
  <c r="O334"/>
  <c r="O335"/>
  <c r="O336"/>
  <c r="O337"/>
  <c r="P338"/>
  <c r="Q338"/>
  <c r="R338"/>
  <c r="S338"/>
  <c r="T338"/>
  <c r="U338"/>
  <c r="V338"/>
  <c r="W338"/>
  <c r="X338"/>
  <c r="Z338"/>
  <c r="AA338"/>
  <c r="AB338"/>
  <c r="AC338"/>
  <c r="AD338"/>
  <c r="AE338"/>
  <c r="AF338"/>
  <c r="AG338"/>
  <c r="AH338"/>
  <c r="AI338"/>
  <c r="AJ338"/>
  <c r="AK338"/>
  <c r="AM338"/>
  <c r="D338"/>
  <c r="K337"/>
  <c r="K336"/>
  <c r="K335"/>
  <c r="K334"/>
  <c r="K333"/>
  <c r="K332"/>
  <c r="K331"/>
  <c r="K330"/>
  <c r="K329"/>
  <c r="K328"/>
  <c r="K327"/>
  <c r="K326"/>
  <c r="K325"/>
  <c r="K324"/>
  <c r="K323"/>
  <c r="K322"/>
  <c r="K321"/>
  <c r="K320"/>
  <c r="K319"/>
  <c r="K318"/>
  <c r="K317"/>
  <c r="K316"/>
  <c r="K315"/>
  <c r="K314"/>
  <c r="K313"/>
  <c r="K312"/>
  <c r="K311"/>
  <c r="K310"/>
  <c r="K309"/>
  <c r="K308"/>
  <c r="K307"/>
  <c r="K306"/>
  <c r="K305"/>
  <c r="K304"/>
  <c r="K303"/>
  <c r="K302"/>
  <c r="K301"/>
  <c r="K300"/>
  <c r="K299"/>
  <c r="K298"/>
  <c r="K297"/>
  <c r="K296"/>
  <c r="K295"/>
  <c r="K294"/>
  <c r="K293"/>
  <c r="K292"/>
  <c r="K291"/>
  <c r="K290"/>
  <c r="K289"/>
  <c r="K288"/>
  <c r="K287"/>
  <c r="K286"/>
  <c r="K285"/>
  <c r="K284"/>
  <c r="K283"/>
  <c r="K282"/>
  <c r="K281"/>
  <c r="K280"/>
  <c r="K279"/>
  <c r="K278"/>
  <c r="K277"/>
  <c r="K276"/>
  <c r="K275"/>
  <c r="K274"/>
  <c r="K273"/>
  <c r="K272"/>
  <c r="K271"/>
  <c r="K270"/>
  <c r="K269"/>
  <c r="K268"/>
  <c r="K267"/>
  <c r="K266"/>
  <c r="K265"/>
  <c r="K264"/>
  <c r="K263"/>
  <c r="K262"/>
  <c r="K261"/>
  <c r="K260"/>
  <c r="K259"/>
  <c r="K258"/>
  <c r="K257"/>
  <c r="K256"/>
  <c r="K255"/>
  <c r="K254"/>
  <c r="K253"/>
  <c r="K252"/>
  <c r="K251"/>
  <c r="K250"/>
  <c r="K249"/>
  <c r="K248"/>
  <c r="K247"/>
  <c r="K246"/>
  <c r="K245"/>
  <c r="K244"/>
  <c r="K243"/>
  <c r="K242"/>
  <c r="K241"/>
  <c r="K240"/>
  <c r="K239"/>
  <c r="K238"/>
  <c r="K237"/>
  <c r="K236"/>
  <c r="K235"/>
  <c r="K234"/>
  <c r="K233"/>
  <c r="K232"/>
  <c r="K231"/>
  <c r="K230"/>
  <c r="K229"/>
  <c r="K228"/>
  <c r="K227"/>
  <c r="K226"/>
  <c r="K225"/>
  <c r="K224"/>
  <c r="K223"/>
  <c r="K222"/>
  <c r="K221"/>
  <c r="K220"/>
  <c r="K219"/>
  <c r="K218"/>
  <c r="K217"/>
  <c r="K216"/>
  <c r="K215"/>
  <c r="K214"/>
  <c r="K213"/>
  <c r="K212"/>
  <c r="K211"/>
  <c r="K210"/>
  <c r="K209"/>
  <c r="K208"/>
  <c r="K207"/>
  <c r="K206"/>
  <c r="K205"/>
  <c r="K204"/>
  <c r="K203"/>
  <c r="K202"/>
  <c r="K201"/>
  <c r="K200"/>
  <c r="K199"/>
  <c r="K198"/>
  <c r="K197"/>
  <c r="K196"/>
  <c r="K195"/>
  <c r="K194"/>
  <c r="K193"/>
  <c r="K192"/>
  <c r="K191"/>
  <c r="K190"/>
  <c r="K189"/>
  <c r="K188"/>
  <c r="K187"/>
  <c r="K186"/>
  <c r="K185"/>
  <c r="K184"/>
  <c r="K183"/>
  <c r="K182"/>
  <c r="K181"/>
  <c r="K180"/>
  <c r="K179"/>
  <c r="K178"/>
  <c r="K177"/>
  <c r="K176"/>
  <c r="K175"/>
  <c r="K174"/>
  <c r="K173"/>
  <c r="K172"/>
  <c r="K171"/>
  <c r="K170"/>
  <c r="K169"/>
  <c r="K168"/>
  <c r="K167"/>
  <c r="K166"/>
  <c r="K165"/>
  <c r="K164"/>
  <c r="K163"/>
  <c r="K162"/>
  <c r="K161"/>
  <c r="K160"/>
  <c r="K159"/>
  <c r="K158"/>
  <c r="K157"/>
  <c r="K156"/>
  <c r="K155"/>
  <c r="K154"/>
  <c r="K153"/>
  <c r="K152"/>
  <c r="K151"/>
  <c r="K150"/>
  <c r="K149"/>
  <c r="K148"/>
  <c r="K147"/>
  <c r="K146"/>
  <c r="K145"/>
  <c r="K144"/>
  <c r="K143"/>
  <c r="K142"/>
  <c r="K141"/>
  <c r="K140"/>
  <c r="K139"/>
  <c r="K138"/>
  <c r="K137"/>
  <c r="K136"/>
  <c r="K135"/>
  <c r="K134"/>
  <c r="K133"/>
  <c r="K132"/>
  <c r="K131"/>
  <c r="K130"/>
  <c r="K129"/>
  <c r="K128"/>
  <c r="K127"/>
  <c r="K126"/>
  <c r="K125"/>
  <c r="K124"/>
  <c r="K123"/>
  <c r="K122"/>
  <c r="K121"/>
  <c r="K120"/>
  <c r="K119"/>
  <c r="K118"/>
  <c r="K117"/>
  <c r="K116"/>
  <c r="K115"/>
  <c r="K114"/>
  <c r="K113"/>
  <c r="K112"/>
  <c r="K111"/>
  <c r="K110"/>
  <c r="K109"/>
  <c r="K108"/>
  <c r="K107"/>
  <c r="K106"/>
  <c r="K105"/>
  <c r="K104"/>
  <c r="K103"/>
  <c r="K102"/>
  <c r="K101"/>
  <c r="K100"/>
  <c r="K99"/>
  <c r="K98"/>
  <c r="K97"/>
  <c r="K96"/>
  <c r="K95"/>
  <c r="K94"/>
  <c r="K93"/>
  <c r="K92"/>
  <c r="K91"/>
  <c r="K90"/>
  <c r="K89"/>
  <c r="K88"/>
  <c r="K87"/>
  <c r="K86"/>
  <c r="K85"/>
  <c r="K84"/>
  <c r="K83"/>
  <c r="K82"/>
  <c r="K81"/>
  <c r="K80"/>
  <c r="K79"/>
  <c r="K78"/>
  <c r="K77"/>
  <c r="K76"/>
  <c r="K75"/>
  <c r="K74"/>
  <c r="K73"/>
  <c r="K72"/>
  <c r="K71"/>
  <c r="K70"/>
  <c r="K69"/>
  <c r="K68"/>
  <c r="K67"/>
  <c r="K66"/>
  <c r="K65"/>
  <c r="K64"/>
  <c r="K63"/>
  <c r="K62"/>
  <c r="K61"/>
  <c r="K60"/>
  <c r="K59"/>
  <c r="K58"/>
  <c r="K57"/>
  <c r="K56"/>
  <c r="K55"/>
  <c r="K54"/>
  <c r="K53"/>
  <c r="K52"/>
  <c r="K51"/>
  <c r="K50"/>
  <c r="K49"/>
  <c r="K48"/>
  <c r="K47"/>
  <c r="K46"/>
  <c r="K45"/>
  <c r="K44"/>
  <c r="K43"/>
  <c r="K42"/>
  <c r="K41"/>
  <c r="K40"/>
  <c r="K39"/>
  <c r="K38"/>
  <c r="K37"/>
  <c r="K36"/>
  <c r="K35"/>
  <c r="K34"/>
  <c r="K33"/>
  <c r="K32"/>
  <c r="K31"/>
  <c r="K30"/>
  <c r="K29"/>
  <c r="K28"/>
  <c r="K27"/>
  <c r="K26"/>
  <c r="K25"/>
  <c r="K24"/>
  <c r="K23"/>
  <c r="K22"/>
  <c r="K21"/>
  <c r="K20"/>
  <c r="K19"/>
  <c r="K18"/>
  <c r="K17"/>
  <c r="K16"/>
  <c r="K15"/>
  <c r="K14"/>
  <c r="K13"/>
  <c r="K12"/>
  <c r="G337"/>
  <c r="G336"/>
  <c r="G335"/>
  <c r="G334"/>
  <c r="G333"/>
  <c r="G332"/>
  <c r="G331"/>
  <c r="G330"/>
  <c r="G329"/>
  <c r="G328"/>
  <c r="G327"/>
  <c r="G326"/>
  <c r="G325"/>
  <c r="G324"/>
  <c r="G323"/>
  <c r="G322"/>
  <c r="G321"/>
  <c r="G320"/>
  <c r="G319"/>
  <c r="G318"/>
  <c r="G317"/>
  <c r="G316"/>
  <c r="G315"/>
  <c r="G314"/>
  <c r="G313"/>
  <c r="G312"/>
  <c r="G311"/>
  <c r="G310"/>
  <c r="G309"/>
  <c r="G308"/>
  <c r="G307"/>
  <c r="G306"/>
  <c r="G305"/>
  <c r="G304"/>
  <c r="G303"/>
  <c r="G302"/>
  <c r="G301"/>
  <c r="G300"/>
  <c r="G299"/>
  <c r="G298"/>
  <c r="G297"/>
  <c r="G296"/>
  <c r="G295"/>
  <c r="G294"/>
  <c r="G293"/>
  <c r="G292"/>
  <c r="G291"/>
  <c r="G290"/>
  <c r="G289"/>
  <c r="G288"/>
  <c r="G287"/>
  <c r="G286"/>
  <c r="G285"/>
  <c r="G284"/>
  <c r="G283"/>
  <c r="G282"/>
  <c r="G281"/>
  <c r="G280"/>
  <c r="G279"/>
  <c r="G278"/>
  <c r="G277"/>
  <c r="G276"/>
  <c r="G275"/>
  <c r="G274"/>
  <c r="G273"/>
  <c r="G272"/>
  <c r="G271"/>
  <c r="G270"/>
  <c r="G269"/>
  <c r="G268"/>
  <c r="G267"/>
  <c r="G266"/>
  <c r="G265"/>
  <c r="G264"/>
  <c r="G263"/>
  <c r="G262"/>
  <c r="G261"/>
  <c r="G260"/>
  <c r="G259"/>
  <c r="G258"/>
  <c r="G257"/>
  <c r="G256"/>
  <c r="G255"/>
  <c r="G254"/>
  <c r="G253"/>
  <c r="G252"/>
  <c r="G251"/>
  <c r="G250"/>
  <c r="G249"/>
  <c r="G248"/>
  <c r="G247"/>
  <c r="G246"/>
  <c r="G245"/>
  <c r="G244"/>
  <c r="G243"/>
  <c r="G242"/>
  <c r="G241"/>
  <c r="G240"/>
  <c r="G239"/>
  <c r="G238"/>
  <c r="G237"/>
  <c r="G236"/>
  <c r="G235"/>
  <c r="G234"/>
  <c r="G233"/>
  <c r="G232"/>
  <c r="G231"/>
  <c r="G230"/>
  <c r="G229"/>
  <c r="G228"/>
  <c r="G227"/>
  <c r="G226"/>
  <c r="G225"/>
  <c r="G224"/>
  <c r="G223"/>
  <c r="G222"/>
  <c r="G221"/>
  <c r="G220"/>
  <c r="G219"/>
  <c r="G218"/>
  <c r="G217"/>
  <c r="G216"/>
  <c r="G215"/>
  <c r="G214"/>
  <c r="G213"/>
  <c r="G212"/>
  <c r="G211"/>
  <c r="G210"/>
  <c r="G209"/>
  <c r="G208"/>
  <c r="G207"/>
  <c r="G206"/>
  <c r="G205"/>
  <c r="G204"/>
  <c r="G203"/>
  <c r="G202"/>
  <c r="G201"/>
  <c r="G200"/>
  <c r="G199"/>
  <c r="G198"/>
  <c r="G197"/>
  <c r="G196"/>
  <c r="G195"/>
  <c r="G194"/>
  <c r="G193"/>
  <c r="G192"/>
  <c r="G191"/>
  <c r="G190"/>
  <c r="G189"/>
  <c r="G188"/>
  <c r="G187"/>
  <c r="G186"/>
  <c r="G185"/>
  <c r="G184"/>
  <c r="G183"/>
  <c r="G182"/>
  <c r="G181"/>
  <c r="G180"/>
  <c r="G179"/>
  <c r="G178"/>
  <c r="G177"/>
  <c r="G176"/>
  <c r="G175"/>
  <c r="G174"/>
  <c r="G173"/>
  <c r="G172"/>
  <c r="G171"/>
  <c r="G170"/>
  <c r="G169"/>
  <c r="G168"/>
  <c r="G167"/>
  <c r="G166"/>
  <c r="G165"/>
  <c r="G164"/>
  <c r="G163"/>
  <c r="G162"/>
  <c r="G161"/>
  <c r="G160"/>
  <c r="G159"/>
  <c r="G158"/>
  <c r="G157"/>
  <c r="G156"/>
  <c r="G155"/>
  <c r="G154"/>
  <c r="G153"/>
  <c r="G152"/>
  <c r="G151"/>
  <c r="G150"/>
  <c r="G149"/>
  <c r="G148"/>
  <c r="G147"/>
  <c r="G146"/>
  <c r="G145"/>
  <c r="G144"/>
  <c r="G143"/>
  <c r="G142"/>
  <c r="G141"/>
  <c r="G140"/>
  <c r="G139"/>
  <c r="G138"/>
  <c r="G137"/>
  <c r="G136"/>
  <c r="G135"/>
  <c r="G134"/>
  <c r="G133"/>
  <c r="G132"/>
  <c r="G131"/>
  <c r="G130"/>
  <c r="G129"/>
  <c r="G128"/>
  <c r="G127"/>
  <c r="G126"/>
  <c r="G125"/>
  <c r="G124"/>
  <c r="G123"/>
  <c r="G122"/>
  <c r="G121"/>
  <c r="G120"/>
  <c r="G119"/>
  <c r="G118"/>
  <c r="G117"/>
  <c r="G116"/>
  <c r="G115"/>
  <c r="G114"/>
  <c r="G113"/>
  <c r="G112"/>
  <c r="G111"/>
  <c r="G110"/>
  <c r="G109"/>
  <c r="G108"/>
  <c r="G107"/>
  <c r="G106"/>
  <c r="G105"/>
  <c r="G104"/>
  <c r="G103"/>
  <c r="G102"/>
  <c r="G101"/>
  <c r="G100"/>
  <c r="G99"/>
  <c r="G98"/>
  <c r="G97"/>
  <c r="G96"/>
  <c r="G95"/>
  <c r="G94"/>
  <c r="G93"/>
  <c r="G92"/>
  <c r="G91"/>
  <c r="G90"/>
  <c r="G89"/>
  <c r="G88"/>
  <c r="G87"/>
  <c r="G86"/>
  <c r="G85"/>
  <c r="G84"/>
  <c r="G83"/>
  <c r="G82"/>
  <c r="G81"/>
  <c r="G80"/>
  <c r="G79"/>
  <c r="G78"/>
  <c r="G77"/>
  <c r="G76"/>
  <c r="G75"/>
  <c r="G74"/>
  <c r="G73"/>
  <c r="G72"/>
  <c r="G71"/>
  <c r="G70"/>
  <c r="G69"/>
  <c r="G68"/>
  <c r="G67"/>
  <c r="G66"/>
  <c r="G65"/>
  <c r="G64"/>
  <c r="G63"/>
  <c r="G62"/>
  <c r="G61"/>
  <c r="G60"/>
  <c r="G59"/>
  <c r="G58"/>
  <c r="G57"/>
  <c r="G56"/>
  <c r="G55"/>
  <c r="G54"/>
  <c r="G53"/>
  <c r="G52"/>
  <c r="G51"/>
  <c r="G50"/>
  <c r="G49"/>
  <c r="G48"/>
  <c r="G47"/>
  <c r="G46"/>
  <c r="G45"/>
  <c r="G44"/>
  <c r="G43"/>
  <c r="G42"/>
  <c r="G41"/>
  <c r="G40"/>
  <c r="G39"/>
  <c r="G38"/>
  <c r="G37"/>
  <c r="G36"/>
  <c r="G35"/>
  <c r="G34"/>
  <c r="G33"/>
  <c r="G32"/>
  <c r="G31"/>
  <c r="G30"/>
  <c r="G29"/>
  <c r="G28"/>
  <c r="G27"/>
  <c r="G26"/>
  <c r="G25"/>
  <c r="G24"/>
  <c r="G23"/>
  <c r="G22"/>
  <c r="G21"/>
  <c r="G20"/>
  <c r="G19"/>
  <c r="G18"/>
  <c r="G17"/>
  <c r="G16"/>
  <c r="G15"/>
  <c r="G14"/>
  <c r="G13"/>
  <c r="G12"/>
  <c r="K108" i="4"/>
  <c r="K116"/>
  <c r="AL190"/>
  <c r="AK190"/>
  <c r="AJ190"/>
  <c r="F18"/>
  <c r="AI190"/>
  <c r="AH190"/>
  <c r="BN181"/>
  <c r="BO181"/>
  <c r="AH181"/>
  <c r="BU181"/>
  <c r="BR181"/>
  <c r="BQ181"/>
  <c r="K49"/>
  <c r="F66" i="2"/>
  <c r="BE181" i="4"/>
  <c r="BF181"/>
  <c r="BG181"/>
  <c r="BH181"/>
  <c r="BI181"/>
  <c r="BJ181"/>
  <c r="BK181"/>
  <c r="BL181"/>
  <c r="AW181"/>
  <c r="K39"/>
  <c r="K42"/>
  <c r="AX181"/>
  <c r="I49"/>
  <c r="AQ181"/>
  <c r="AT181"/>
  <c r="AU181"/>
  <c r="AY181"/>
  <c r="BB181"/>
  <c r="BC181"/>
  <c r="AV181"/>
  <c r="AJ181"/>
  <c r="AK181"/>
  <c r="AL181"/>
  <c r="AR181"/>
  <c r="AS181"/>
  <c r="AO181"/>
  <c r="AP181"/>
  <c r="L1"/>
  <c r="L90"/>
  <c r="K122"/>
  <c r="BS181"/>
  <c r="E134" i="2"/>
  <c r="E135"/>
  <c r="E112"/>
  <c r="F112"/>
  <c r="F36"/>
  <c r="E36"/>
  <c r="E25"/>
  <c r="F25"/>
  <c r="F15"/>
  <c r="F14"/>
  <c r="E14"/>
  <c r="G101"/>
  <c r="F149"/>
  <c r="F148"/>
  <c r="E149"/>
  <c r="E148"/>
  <c r="E88"/>
  <c r="F88"/>
  <c r="G66"/>
  <c r="E182"/>
  <c r="E181"/>
  <c r="F181"/>
  <c r="K8"/>
  <c r="K142"/>
  <c r="F168"/>
  <c r="G159"/>
  <c r="G161"/>
  <c r="C60"/>
  <c r="D60"/>
  <c r="V35" i="4"/>
  <c r="P35"/>
  <c r="V37"/>
  <c r="P37"/>
  <c r="V33"/>
  <c r="P33"/>
  <c r="P127"/>
  <c r="P120"/>
  <c r="P118"/>
  <c r="P112"/>
  <c r="P110"/>
  <c r="P105"/>
  <c r="P103"/>
  <c r="P97"/>
  <c r="P95"/>
  <c r="P71"/>
  <c r="V47"/>
  <c r="P47"/>
  <c r="V45"/>
  <c r="P45"/>
  <c r="V63"/>
  <c r="P63"/>
  <c r="D27" i="2"/>
  <c r="D29"/>
  <c r="V61" i="4"/>
  <c r="P61"/>
  <c r="V59"/>
  <c r="P59"/>
  <c r="D18" i="2"/>
  <c r="D68"/>
  <c r="D79"/>
  <c r="E15"/>
  <c r="E150"/>
  <c r="E152"/>
  <c r="O338" i="3"/>
  <c r="K338"/>
  <c r="G338"/>
  <c r="I67" i="4"/>
  <c r="BM181"/>
  <c r="F101" i="2"/>
  <c r="K95"/>
  <c r="F182"/>
  <c r="F183"/>
  <c r="F185"/>
  <c r="E101"/>
  <c r="AM181" i="4"/>
  <c r="AH185"/>
  <c r="BD181"/>
  <c r="K67"/>
  <c r="F38" i="2"/>
  <c r="F40"/>
  <c r="X63" i="4"/>
  <c r="F77" i="2"/>
  <c r="AZ181" i="4"/>
  <c r="BA181"/>
  <c r="F123" i="2"/>
  <c r="E38"/>
  <c r="E40"/>
  <c r="K124" i="4"/>
  <c r="BT181"/>
  <c r="BP181"/>
  <c r="K49" i="2"/>
  <c r="E16"/>
  <c r="E18"/>
  <c r="K175"/>
  <c r="AI181" i="4"/>
  <c r="E56" i="2"/>
  <c r="C2"/>
  <c r="E66"/>
  <c r="E27"/>
  <c r="E29"/>
  <c r="R61" i="4"/>
  <c r="B90"/>
  <c r="E169" i="2"/>
  <c r="E170"/>
  <c r="E172"/>
  <c r="E77"/>
  <c r="E123"/>
  <c r="F56"/>
  <c r="F27"/>
  <c r="F29"/>
  <c r="X61" i="4"/>
  <c r="E183" i="2"/>
  <c r="E185"/>
  <c r="E113"/>
  <c r="E114"/>
  <c r="E116"/>
  <c r="E55"/>
  <c r="E89"/>
  <c r="E90"/>
  <c r="E92"/>
  <c r="F16"/>
  <c r="F18"/>
  <c r="X59" i="4"/>
  <c r="M159" i="2"/>
  <c r="L159"/>
  <c r="B161"/>
  <c r="N159"/>
  <c r="F150"/>
  <c r="F152"/>
  <c r="E136"/>
  <c r="E138"/>
  <c r="F169"/>
  <c r="F89"/>
  <c r="F113"/>
  <c r="F55"/>
  <c r="F114"/>
  <c r="F116"/>
  <c r="M112"/>
  <c r="AH186" i="4"/>
  <c r="E67" i="2"/>
  <c r="G67"/>
  <c r="G68"/>
  <c r="G70"/>
  <c r="F67"/>
  <c r="F68"/>
  <c r="E124"/>
  <c r="E125"/>
  <c r="E127"/>
  <c r="E78"/>
  <c r="E79"/>
  <c r="E81"/>
  <c r="F102"/>
  <c r="F103"/>
  <c r="F105"/>
  <c r="AH187" i="4"/>
  <c r="L36" i="2"/>
  <c r="E102"/>
  <c r="E103"/>
  <c r="L25"/>
  <c r="B40"/>
  <c r="G102"/>
  <c r="F57"/>
  <c r="F59"/>
  <c r="M36"/>
  <c r="AH188" i="4"/>
  <c r="N36" i="2"/>
  <c r="R63" i="4"/>
  <c r="L181" i="2"/>
  <c r="F124"/>
  <c r="F125"/>
  <c r="F127"/>
  <c r="B185"/>
  <c r="M181"/>
  <c r="N25"/>
  <c r="M25"/>
  <c r="B29"/>
  <c r="E57"/>
  <c r="E59"/>
  <c r="B49"/>
  <c r="B142"/>
  <c r="B95"/>
  <c r="B175"/>
  <c r="F170"/>
  <c r="F172"/>
  <c r="B172"/>
  <c r="F78"/>
  <c r="F79"/>
  <c r="F81"/>
  <c r="N181"/>
  <c r="O159"/>
  <c r="L148"/>
  <c r="N148"/>
  <c r="M148"/>
  <c r="B152"/>
  <c r="L134"/>
  <c r="B138"/>
  <c r="M134"/>
  <c r="N134"/>
  <c r="L14"/>
  <c r="R59" i="4"/>
  <c r="M14" i="2"/>
  <c r="B18"/>
  <c r="N14"/>
  <c r="F90"/>
  <c r="F92"/>
  <c r="E68"/>
  <c r="E70"/>
  <c r="F70"/>
  <c r="O36"/>
  <c r="N63" i="4"/>
  <c r="N123" i="2"/>
  <c r="B81"/>
  <c r="E105"/>
  <c r="B105"/>
  <c r="N77"/>
  <c r="B127"/>
  <c r="L123"/>
  <c r="B59"/>
  <c r="M123"/>
  <c r="O25"/>
  <c r="N61" i="4"/>
  <c r="G103" i="2"/>
  <c r="G105"/>
  <c r="O181"/>
  <c r="L55"/>
  <c r="M77"/>
  <c r="L77"/>
  <c r="M55"/>
  <c r="N55"/>
  <c r="M168"/>
  <c r="N168"/>
  <c r="L168"/>
  <c r="O134"/>
  <c r="L88"/>
  <c r="N88"/>
  <c r="B92"/>
  <c r="M88"/>
  <c r="L112"/>
  <c r="B116"/>
  <c r="O14"/>
  <c r="N59" i="4"/>
  <c r="N112" i="2"/>
  <c r="O148"/>
  <c r="M66"/>
  <c r="N66"/>
  <c r="B70"/>
  <c r="L66"/>
  <c r="O123"/>
  <c r="N101"/>
  <c r="L101"/>
  <c r="M101"/>
  <c r="O55"/>
  <c r="O77"/>
  <c r="O168"/>
  <c r="O88"/>
  <c r="O112"/>
  <c r="O66"/>
  <c r="O101"/>
</calcChain>
</file>

<file path=xl/comments1.xml><?xml version="1.0" encoding="utf-8"?>
<comments xmlns="http://schemas.openxmlformats.org/spreadsheetml/2006/main">
  <authors>
    <author>svyas</author>
  </authors>
  <commentList>
    <comment ref="AM9" authorId="0">
      <text>
        <r>
          <rPr>
            <b/>
            <sz val="8"/>
            <color indexed="81"/>
            <rFont val="Tahoma"/>
            <family val="2"/>
          </rPr>
          <t>svyas:</t>
        </r>
        <r>
          <rPr>
            <sz val="8"/>
            <color indexed="81"/>
            <rFont val="Tahoma"/>
            <family val="2"/>
          </rPr>
          <t xml:space="preserve">
line12+line16xline21
</t>
        </r>
      </text>
    </comment>
  </commentList>
</comments>
</file>

<file path=xl/sharedStrings.xml><?xml version="1.0" encoding="utf-8"?>
<sst xmlns="http://schemas.openxmlformats.org/spreadsheetml/2006/main" count="1060" uniqueCount="940">
  <si>
    <t>Chief Financial Officer : …………………………………………………………</t>
  </si>
  <si>
    <t>Print name : …………………………………………………………</t>
  </si>
  <si>
    <t>Date : ………………………………………………</t>
  </si>
  <si>
    <t xml:space="preserve">Check that this is your authority :  </t>
  </si>
  <si>
    <t xml:space="preserve">Local authority contact name :  </t>
  </si>
  <si>
    <t xml:space="preserve">Telephone number of local authority contact :  </t>
  </si>
  <si>
    <t xml:space="preserve">Local authority e-mail address:  </t>
  </si>
  <si>
    <t xml:space="preserve">  Council Tax </t>
  </si>
  <si>
    <t xml:space="preserve">  Non Domestic Rates</t>
  </si>
  <si>
    <t>PART A</t>
  </si>
  <si>
    <t>£000</t>
  </si>
  <si>
    <t>%</t>
  </si>
  <si>
    <t>Please note that this figure should not exceed 100%</t>
  </si>
  <si>
    <t>PART B</t>
  </si>
  <si>
    <t>Does Line 9 + Line 10 + Line 11 + Line 12 = Line 8?</t>
  </si>
  <si>
    <t>MEMO ITEM:</t>
  </si>
  <si>
    <t>Receipts of non-domestic rates from non-domestic ratepayers, including rates on local authority properties.</t>
  </si>
  <si>
    <t xml:space="preserve"> Select your local authority's name from this list</t>
  </si>
  <si>
    <t>Certificate of Chief Financial Officer</t>
  </si>
  <si>
    <t xml:space="preserve">Est net collectable </t>
  </si>
  <si>
    <t xml:space="preserve">Prepayments/cash </t>
  </si>
  <si>
    <t xml:space="preserve">Total receipts of </t>
  </si>
  <si>
    <t xml:space="preserve">Council tax in year </t>
  </si>
  <si>
    <t xml:space="preserve">Est receipt of </t>
  </si>
  <si>
    <t xml:space="preserve">Total receipt </t>
  </si>
  <si>
    <t xml:space="preserve">Ctax receipts </t>
  </si>
  <si>
    <t>Receipt of</t>
  </si>
  <si>
    <t xml:space="preserve">NNDR in year </t>
  </si>
  <si>
    <t xml:space="preserve">NNDR receipts </t>
  </si>
  <si>
    <t>debit iro</t>
  </si>
  <si>
    <t>receipts iro</t>
  </si>
  <si>
    <t>ctaxes collected</t>
  </si>
  <si>
    <t>collection rate</t>
  </si>
  <si>
    <t>previous yr</t>
  </si>
  <si>
    <t>community charge</t>
  </si>
  <si>
    <t>NNDR collected</t>
  </si>
  <si>
    <t>NNDR info</t>
  </si>
  <si>
    <t>No.</t>
  </si>
  <si>
    <t>Local Authority</t>
  </si>
  <si>
    <t>Ecodes</t>
  </si>
  <si>
    <t>Qtr1</t>
  </si>
  <si>
    <t>Qtr2</t>
  </si>
  <si>
    <t xml:space="preserve">Qtr3 </t>
  </si>
  <si>
    <t>Total Qtrs</t>
  </si>
  <si>
    <t>Qtr3</t>
  </si>
  <si>
    <t>ctaxes received</t>
  </si>
  <si>
    <t>received before</t>
  </si>
  <si>
    <t>of year</t>
  </si>
  <si>
    <t>NNDR received</t>
  </si>
  <si>
    <t>Taxbase</t>
  </si>
  <si>
    <t>contributions</t>
  </si>
  <si>
    <t>ctax</t>
  </si>
  <si>
    <t/>
  </si>
  <si>
    <t>Adur</t>
  </si>
  <si>
    <t>E3831</t>
  </si>
  <si>
    <t>Allerdale</t>
  </si>
  <si>
    <t>E0931</t>
  </si>
  <si>
    <t>Amber Valley</t>
  </si>
  <si>
    <t>E1031</t>
  </si>
  <si>
    <t>Arun</t>
  </si>
  <si>
    <t>E3832</t>
  </si>
  <si>
    <t>Ashfield</t>
  </si>
  <si>
    <t>E3031</t>
  </si>
  <si>
    <t>Ashford</t>
  </si>
  <si>
    <t>E2231</t>
  </si>
  <si>
    <t>Aylesbury Vale</t>
  </si>
  <si>
    <t>E0431</t>
  </si>
  <si>
    <t>Babergh</t>
  </si>
  <si>
    <t>E3531</t>
  </si>
  <si>
    <t>Barking and Dagenham</t>
  </si>
  <si>
    <t>E5030</t>
  </si>
  <si>
    <t>Barnet</t>
  </si>
  <si>
    <t>E5031</t>
  </si>
  <si>
    <t>Barnsley</t>
  </si>
  <si>
    <t>E4401</t>
  </si>
  <si>
    <t>Barrow-in-Furness</t>
  </si>
  <si>
    <t>E0932</t>
  </si>
  <si>
    <t>Basildon</t>
  </si>
  <si>
    <t>E1531</t>
  </si>
  <si>
    <t>Basingstoke &amp; Deane</t>
  </si>
  <si>
    <t>E1731</t>
  </si>
  <si>
    <t>Bassetlaw</t>
  </si>
  <si>
    <t>E3032</t>
  </si>
  <si>
    <t>Bath &amp; North East Somerset</t>
  </si>
  <si>
    <t>E0101</t>
  </si>
  <si>
    <t>Bedford</t>
  </si>
  <si>
    <t>Bexley</t>
  </si>
  <si>
    <t>E5032</t>
  </si>
  <si>
    <t>Birmingham</t>
  </si>
  <si>
    <t>E4601</t>
  </si>
  <si>
    <t>Blaby</t>
  </si>
  <si>
    <t>E2431</t>
  </si>
  <si>
    <t>Blackburn with Darwen</t>
  </si>
  <si>
    <t>E2301</t>
  </si>
  <si>
    <t>Blackpool</t>
  </si>
  <si>
    <t>E2302</t>
  </si>
  <si>
    <t>Bolsover</t>
  </si>
  <si>
    <t>E1032</t>
  </si>
  <si>
    <t>Bolton</t>
  </si>
  <si>
    <t>E4201</t>
  </si>
  <si>
    <t>Boston</t>
  </si>
  <si>
    <t>E2531</t>
  </si>
  <si>
    <t>Bournemouth</t>
  </si>
  <si>
    <t>E1202</t>
  </si>
  <si>
    <t>Bracknell Forest</t>
  </si>
  <si>
    <t>E0301</t>
  </si>
  <si>
    <t>Bradford</t>
  </si>
  <si>
    <t>E4701</t>
  </si>
  <si>
    <t>Braintree</t>
  </si>
  <si>
    <t>E1532</t>
  </si>
  <si>
    <t>Breckland</t>
  </si>
  <si>
    <t>E2631</t>
  </si>
  <si>
    <t>Brent</t>
  </si>
  <si>
    <t>E5033</t>
  </si>
  <si>
    <t>Brentwood</t>
  </si>
  <si>
    <t>E1533</t>
  </si>
  <si>
    <t>Brighton &amp; Hove</t>
  </si>
  <si>
    <t>E1401</t>
  </si>
  <si>
    <t>Bristol</t>
  </si>
  <si>
    <t>E0102</t>
  </si>
  <si>
    <t>Broadland</t>
  </si>
  <si>
    <t>E2632</t>
  </si>
  <si>
    <t>Bromley</t>
  </si>
  <si>
    <t>E5034</t>
  </si>
  <si>
    <t>Bromsgrove</t>
  </si>
  <si>
    <t>E1831</t>
  </si>
  <si>
    <t>Broxbourne</t>
  </si>
  <si>
    <t>E1931</t>
  </si>
  <si>
    <t>Broxtowe</t>
  </si>
  <si>
    <t>E3033</t>
  </si>
  <si>
    <t>Burnley</t>
  </si>
  <si>
    <t>E2333</t>
  </si>
  <si>
    <t>Bury</t>
  </si>
  <si>
    <t>E4202</t>
  </si>
  <si>
    <t>Calderdale</t>
  </si>
  <si>
    <t>E4702</t>
  </si>
  <si>
    <t>Cambridge</t>
  </si>
  <si>
    <t>E0531</t>
  </si>
  <si>
    <t>Camden</t>
  </si>
  <si>
    <t>E5011</t>
  </si>
  <si>
    <t>Cannock Chase</t>
  </si>
  <si>
    <t>E3431</t>
  </si>
  <si>
    <t>Canterbury</t>
  </si>
  <si>
    <t>E2232</t>
  </si>
  <si>
    <t>Carlisle</t>
  </si>
  <si>
    <t>E0933</t>
  </si>
  <si>
    <t>Castle Point</t>
  </si>
  <si>
    <t>E1534</t>
  </si>
  <si>
    <t>Charnwood</t>
  </si>
  <si>
    <t>E2432</t>
  </si>
  <si>
    <t>Chelmsford</t>
  </si>
  <si>
    <t>E1535</t>
  </si>
  <si>
    <t>Cheltenham</t>
  </si>
  <si>
    <t>E1631</t>
  </si>
  <si>
    <t>Cherwell</t>
  </si>
  <si>
    <t>E3131</t>
  </si>
  <si>
    <t>Chesterfield</t>
  </si>
  <si>
    <t>E1033</t>
  </si>
  <si>
    <t>Chichester</t>
  </si>
  <si>
    <t>E3833</t>
  </si>
  <si>
    <t>Chiltern</t>
  </si>
  <si>
    <t>E0432</t>
  </si>
  <si>
    <t>Chorley</t>
  </si>
  <si>
    <t>E2334</t>
  </si>
  <si>
    <t>Christchurch</t>
  </si>
  <si>
    <t>E1232</t>
  </si>
  <si>
    <t>City of London</t>
  </si>
  <si>
    <t>E5010</t>
  </si>
  <si>
    <t>Colchester</t>
  </si>
  <si>
    <t>E1536</t>
  </si>
  <si>
    <t>Copeland</t>
  </si>
  <si>
    <t>E0934</t>
  </si>
  <si>
    <t>Corby</t>
  </si>
  <si>
    <t>E2831</t>
  </si>
  <si>
    <t>Cotswold</t>
  </si>
  <si>
    <t>E1632</t>
  </si>
  <si>
    <t>Coventry</t>
  </si>
  <si>
    <t>E4602</t>
  </si>
  <si>
    <t>Craven</t>
  </si>
  <si>
    <t>E2731</t>
  </si>
  <si>
    <t>Crawley</t>
  </si>
  <si>
    <t>E3834</t>
  </si>
  <si>
    <t>Croydon</t>
  </si>
  <si>
    <t>E5035</t>
  </si>
  <si>
    <t>Dacorum</t>
  </si>
  <si>
    <t>E1932</t>
  </si>
  <si>
    <t>Darlington</t>
  </si>
  <si>
    <t>E1301</t>
  </si>
  <si>
    <t>Dartford</t>
  </si>
  <si>
    <t>E2233</t>
  </si>
  <si>
    <t>Daventry</t>
  </si>
  <si>
    <t>E2832</t>
  </si>
  <si>
    <t>Derby</t>
  </si>
  <si>
    <t>E1001</t>
  </si>
  <si>
    <t>Derbyshire Dales</t>
  </si>
  <si>
    <t>E1035</t>
  </si>
  <si>
    <t>Doncaster</t>
  </si>
  <si>
    <t>E4402</t>
  </si>
  <si>
    <t>Dover</t>
  </si>
  <si>
    <t>E2234</t>
  </si>
  <si>
    <t>Dudley</t>
  </si>
  <si>
    <t>E4603</t>
  </si>
  <si>
    <t>Durham</t>
  </si>
  <si>
    <t>Ealing</t>
  </si>
  <si>
    <t>E5036</t>
  </si>
  <si>
    <t>East Cambridgeshire</t>
  </si>
  <si>
    <t>E0532</t>
  </si>
  <si>
    <t>East Devon</t>
  </si>
  <si>
    <t>E1131</t>
  </si>
  <si>
    <t>East Dorset</t>
  </si>
  <si>
    <t>E1233</t>
  </si>
  <si>
    <t>East Hampshire</t>
  </si>
  <si>
    <t>E1732</t>
  </si>
  <si>
    <t>East Hertfordshire</t>
  </si>
  <si>
    <t>E1933</t>
  </si>
  <si>
    <t>East Lindsey</t>
  </si>
  <si>
    <t>E2532</t>
  </si>
  <si>
    <t>East Northamptonshire</t>
  </si>
  <si>
    <t>E2833</t>
  </si>
  <si>
    <t>East Riding of Yorkshire</t>
  </si>
  <si>
    <t>E2001</t>
  </si>
  <si>
    <t>East Staffordshire</t>
  </si>
  <si>
    <t>E3432</t>
  </si>
  <si>
    <t>Eastbourne</t>
  </si>
  <si>
    <t>E1432</t>
  </si>
  <si>
    <t>Eastleigh</t>
  </si>
  <si>
    <t>E1733</t>
  </si>
  <si>
    <t>Eden</t>
  </si>
  <si>
    <t>E0935</t>
  </si>
  <si>
    <t>Elmbridge</t>
  </si>
  <si>
    <t>E3631</t>
  </si>
  <si>
    <t>Enfield</t>
  </si>
  <si>
    <t>E5037</t>
  </si>
  <si>
    <t>Epping Forest</t>
  </si>
  <si>
    <t>E1537</t>
  </si>
  <si>
    <t>Epsom &amp; Ewell</t>
  </si>
  <si>
    <t>E3632</t>
  </si>
  <si>
    <t>Erewash</t>
  </si>
  <si>
    <t>E1036</t>
  </si>
  <si>
    <t>Exeter</t>
  </si>
  <si>
    <t>E1132</t>
  </si>
  <si>
    <t>Fareham</t>
  </si>
  <si>
    <t>E1734</t>
  </si>
  <si>
    <t>Fenland</t>
  </si>
  <si>
    <t>E0533</t>
  </si>
  <si>
    <t>Forest Heath</t>
  </si>
  <si>
    <t>E3532</t>
  </si>
  <si>
    <t>Forest of Dean</t>
  </si>
  <si>
    <t>E1633</t>
  </si>
  <si>
    <t>Fylde</t>
  </si>
  <si>
    <t>E2335</t>
  </si>
  <si>
    <t>Gateshead</t>
  </si>
  <si>
    <t>E4501</t>
  </si>
  <si>
    <t>Gedling</t>
  </si>
  <si>
    <t>E3034</t>
  </si>
  <si>
    <t>Gloucester</t>
  </si>
  <si>
    <t>E1634</t>
  </si>
  <si>
    <t>Gosport</t>
  </si>
  <si>
    <t>E1735</t>
  </si>
  <si>
    <t>Gravesham</t>
  </si>
  <si>
    <t>E2236</t>
  </si>
  <si>
    <t>Great Yarmouth</t>
  </si>
  <si>
    <t>E2633</t>
  </si>
  <si>
    <t>Greenwich</t>
  </si>
  <si>
    <t>E5012</t>
  </si>
  <si>
    <t>Guildford</t>
  </si>
  <si>
    <t>E3633</t>
  </si>
  <si>
    <t>Hackney</t>
  </si>
  <si>
    <t>E5013</t>
  </si>
  <si>
    <t>Halton</t>
  </si>
  <si>
    <t>E0601</t>
  </si>
  <si>
    <t>Hambleton</t>
  </si>
  <si>
    <t>E2732</t>
  </si>
  <si>
    <t>Hammersmith and Fulham</t>
  </si>
  <si>
    <t>E5014</t>
  </si>
  <si>
    <t>Harborough</t>
  </si>
  <si>
    <t>E2433</t>
  </si>
  <si>
    <t>Haringey</t>
  </si>
  <si>
    <t>E5038</t>
  </si>
  <si>
    <t>Harlow</t>
  </si>
  <si>
    <t>E1538</t>
  </si>
  <si>
    <t>Harrogate</t>
  </si>
  <si>
    <t>E2753</t>
  </si>
  <si>
    <t>Harrow</t>
  </si>
  <si>
    <t>E5039</t>
  </si>
  <si>
    <t>Hart</t>
  </si>
  <si>
    <t>E1736</t>
  </si>
  <si>
    <t>Hartlepool</t>
  </si>
  <si>
    <t>E0701</t>
  </si>
  <si>
    <t>Hastings</t>
  </si>
  <si>
    <t>E1433</t>
  </si>
  <si>
    <t>Havant</t>
  </si>
  <si>
    <t>E1737</t>
  </si>
  <si>
    <t>Havering</t>
  </si>
  <si>
    <t>E5040</t>
  </si>
  <si>
    <t>E1801</t>
  </si>
  <si>
    <t>Hertsmere</t>
  </si>
  <si>
    <t>E1934</t>
  </si>
  <si>
    <t>High Peak</t>
  </si>
  <si>
    <t>E1037</t>
  </si>
  <si>
    <t>Hillingdon</t>
  </si>
  <si>
    <t>E5041</t>
  </si>
  <si>
    <t>Hinckley and Bosworth</t>
  </si>
  <si>
    <t>E2434</t>
  </si>
  <si>
    <t>Horsham</t>
  </si>
  <si>
    <t>E3835</t>
  </si>
  <si>
    <t>Hounslow</t>
  </si>
  <si>
    <t>E5042</t>
  </si>
  <si>
    <t>Huntingdonshire</t>
  </si>
  <si>
    <t>E0551</t>
  </si>
  <si>
    <t>Hyndburn</t>
  </si>
  <si>
    <t>E2336</t>
  </si>
  <si>
    <t>Ipswich</t>
  </si>
  <si>
    <t>E3533</t>
  </si>
  <si>
    <t>Isle of Wight Council</t>
  </si>
  <si>
    <t>E2101</t>
  </si>
  <si>
    <t>Isles of Scilly</t>
  </si>
  <si>
    <t>E4001</t>
  </si>
  <si>
    <t>Islington</t>
  </si>
  <si>
    <t>E5015</t>
  </si>
  <si>
    <t>Kensington and Chelsea</t>
  </si>
  <si>
    <t>E5016</t>
  </si>
  <si>
    <t>Kettering</t>
  </si>
  <si>
    <t>E2834</t>
  </si>
  <si>
    <t>Kings Lynn and West Norfolk</t>
  </si>
  <si>
    <t>E2634</t>
  </si>
  <si>
    <t>Kingston upon Hull</t>
  </si>
  <si>
    <t>E2002</t>
  </si>
  <si>
    <t>Kingston upon Thames</t>
  </si>
  <si>
    <t>E5043</t>
  </si>
  <si>
    <t>Kirklees</t>
  </si>
  <si>
    <t>E4703</t>
  </si>
  <si>
    <t>Knowsley</t>
  </si>
  <si>
    <t>E4301</t>
  </si>
  <si>
    <t>Lambeth</t>
  </si>
  <si>
    <t>E5017</t>
  </si>
  <si>
    <t>Lancaster</t>
  </si>
  <si>
    <t>E2337</t>
  </si>
  <si>
    <t>Leeds</t>
  </si>
  <si>
    <t>E4704</t>
  </si>
  <si>
    <t>Leicester</t>
  </si>
  <si>
    <t>E2401</t>
  </si>
  <si>
    <t>Lewes</t>
  </si>
  <si>
    <t>E1435</t>
  </si>
  <si>
    <t>Lewisham</t>
  </si>
  <si>
    <t>E5018</t>
  </si>
  <si>
    <t>Lichfield</t>
  </si>
  <si>
    <t>E3433</t>
  </si>
  <si>
    <t>Lincoln</t>
  </si>
  <si>
    <t>E2533</t>
  </si>
  <si>
    <t>Liverpool</t>
  </si>
  <si>
    <t>E4302</t>
  </si>
  <si>
    <t>Luton</t>
  </si>
  <si>
    <t>E0201</t>
  </si>
  <si>
    <t>Maidstone</t>
  </si>
  <si>
    <t>E2237</t>
  </si>
  <si>
    <t>Maldon</t>
  </si>
  <si>
    <t>E1539</t>
  </si>
  <si>
    <t>Malvern Hills</t>
  </si>
  <si>
    <t>E1851</t>
  </si>
  <si>
    <t>Manchester</t>
  </si>
  <si>
    <t>E4203</t>
  </si>
  <si>
    <t>Mansfield</t>
  </si>
  <si>
    <t>E3035</t>
  </si>
  <si>
    <t>E2201</t>
  </si>
  <si>
    <t>Melton</t>
  </si>
  <si>
    <t>E2436</t>
  </si>
  <si>
    <t>Mendip</t>
  </si>
  <si>
    <t>E3331</t>
  </si>
  <si>
    <t>Merton</t>
  </si>
  <si>
    <t>E5044</t>
  </si>
  <si>
    <t>Mid Devon</t>
  </si>
  <si>
    <t>E1133</t>
  </si>
  <si>
    <t>Mid Suffolk</t>
  </si>
  <si>
    <t>E3534</t>
  </si>
  <si>
    <t>Mid Sussex</t>
  </si>
  <si>
    <t>E3836</t>
  </si>
  <si>
    <t>Middlesbrough</t>
  </si>
  <si>
    <t>E0702</t>
  </si>
  <si>
    <t>Milton Keynes</t>
  </si>
  <si>
    <t>E0401</t>
  </si>
  <si>
    <t>Mole Valley</t>
  </si>
  <si>
    <t>E3634</t>
  </si>
  <si>
    <t>New Forest</t>
  </si>
  <si>
    <t>E1738</t>
  </si>
  <si>
    <t>Newark and Sherwood</t>
  </si>
  <si>
    <t>E3036</t>
  </si>
  <si>
    <t>Newcastle upon Tyne</t>
  </si>
  <si>
    <t>E4502</t>
  </si>
  <si>
    <t>Newcastle-under-Lyme</t>
  </si>
  <si>
    <t>E3434</t>
  </si>
  <si>
    <t>Newham</t>
  </si>
  <si>
    <t>E5045</t>
  </si>
  <si>
    <t>North Devon</t>
  </si>
  <si>
    <t>E1134</t>
  </si>
  <si>
    <t>North Dorset</t>
  </si>
  <si>
    <t>E1234</t>
  </si>
  <si>
    <t>North East Derbyshire</t>
  </si>
  <si>
    <t>E1038</t>
  </si>
  <si>
    <t>North East Lincolnshire</t>
  </si>
  <si>
    <t>E2003</t>
  </si>
  <si>
    <t>North Hertfordshire</t>
  </si>
  <si>
    <t>E1935</t>
  </si>
  <si>
    <t>North Kesteven</t>
  </si>
  <si>
    <t>E2534</t>
  </si>
  <si>
    <t>North Lincolnshire</t>
  </si>
  <si>
    <t>E2004</t>
  </si>
  <si>
    <t>North Norfolk</t>
  </si>
  <si>
    <t>E2635</t>
  </si>
  <si>
    <t>North Somerset</t>
  </si>
  <si>
    <t>E0104</t>
  </si>
  <si>
    <t>North Tyneside</t>
  </si>
  <si>
    <t>E4503</t>
  </si>
  <si>
    <t>North Warwickshire</t>
  </si>
  <si>
    <t>E3731</t>
  </si>
  <si>
    <t>North West Leicestershire</t>
  </si>
  <si>
    <t>E2437</t>
  </si>
  <si>
    <t>Northampton</t>
  </si>
  <si>
    <t>E2835</t>
  </si>
  <si>
    <t>Norwich</t>
  </si>
  <si>
    <t>E2636</t>
  </si>
  <si>
    <t>Nottingham</t>
  </si>
  <si>
    <t>E3001</t>
  </si>
  <si>
    <t>Nuneaton and Bedworth</t>
  </si>
  <si>
    <t>E3732</t>
  </si>
  <si>
    <t>Oadby and Wigston</t>
  </si>
  <si>
    <t>E2438</t>
  </si>
  <si>
    <t>Oldham</t>
  </si>
  <si>
    <t>E4204</t>
  </si>
  <si>
    <t>Oxford</t>
  </si>
  <si>
    <t>E3132</t>
  </si>
  <si>
    <t>Pendle</t>
  </si>
  <si>
    <t>E2338</t>
  </si>
  <si>
    <t>Peterborough</t>
  </si>
  <si>
    <t>E0501</t>
  </si>
  <si>
    <t>Plymouth</t>
  </si>
  <si>
    <t>E1101</t>
  </si>
  <si>
    <t>Poole</t>
  </si>
  <si>
    <t>E1201</t>
  </si>
  <si>
    <t>Portsmouth</t>
  </si>
  <si>
    <t>E1701</t>
  </si>
  <si>
    <t>Preston</t>
  </si>
  <si>
    <t>E2339</t>
  </si>
  <si>
    <t>Purbeck</t>
  </si>
  <si>
    <t>E1236</t>
  </si>
  <si>
    <t>Reading</t>
  </si>
  <si>
    <t>E0303</t>
  </si>
  <si>
    <t>Redbridge</t>
  </si>
  <si>
    <t>E5046</t>
  </si>
  <si>
    <t>Redcar and Cleveland</t>
  </si>
  <si>
    <t>E0703</t>
  </si>
  <si>
    <t>Redditch</t>
  </si>
  <si>
    <t>E1835</t>
  </si>
  <si>
    <t>Reigate and Banstead</t>
  </si>
  <si>
    <t>E3635</t>
  </si>
  <si>
    <t>Ribble Valley</t>
  </si>
  <si>
    <t>E2340</t>
  </si>
  <si>
    <t>Richmond upon Thames</t>
  </si>
  <si>
    <t>E5047</t>
  </si>
  <si>
    <t>Richmondshire</t>
  </si>
  <si>
    <t>E2734</t>
  </si>
  <si>
    <t>Rochdale</t>
  </si>
  <si>
    <t>E4205</t>
  </si>
  <si>
    <t>Rochford</t>
  </si>
  <si>
    <t>E1540</t>
  </si>
  <si>
    <t>Rossendale</t>
  </si>
  <si>
    <t>E2341</t>
  </si>
  <si>
    <t>Rother</t>
  </si>
  <si>
    <t>E1436</t>
  </si>
  <si>
    <t>Rotherham</t>
  </si>
  <si>
    <t>E4403</t>
  </si>
  <si>
    <t>Rugby</t>
  </si>
  <si>
    <t>E3733</t>
  </si>
  <si>
    <t>Runnymede</t>
  </si>
  <si>
    <t>E3636</t>
  </si>
  <si>
    <t>Rushcliffe</t>
  </si>
  <si>
    <t>E3038</t>
  </si>
  <si>
    <t>Rushmoor</t>
  </si>
  <si>
    <t>E1740</t>
  </si>
  <si>
    <t>Rutland</t>
  </si>
  <si>
    <t>E2402</t>
  </si>
  <si>
    <t>Ryedale</t>
  </si>
  <si>
    <t>E2755</t>
  </si>
  <si>
    <t>Salford</t>
  </si>
  <si>
    <t>E4206</t>
  </si>
  <si>
    <t>Sandwell</t>
  </si>
  <si>
    <t>E4604</t>
  </si>
  <si>
    <t>Scarborough</t>
  </si>
  <si>
    <t>E2736</t>
  </si>
  <si>
    <t>Sedgemoor</t>
  </si>
  <si>
    <t>E3332</t>
  </si>
  <si>
    <t>Sefton</t>
  </si>
  <si>
    <t>E4304</t>
  </si>
  <si>
    <t>Selby</t>
  </si>
  <si>
    <t>E2757</t>
  </si>
  <si>
    <t>Sevenoaks</t>
  </si>
  <si>
    <t>E2239</t>
  </si>
  <si>
    <t>Sheffield</t>
  </si>
  <si>
    <t>E4404</t>
  </si>
  <si>
    <t>Shepway</t>
  </si>
  <si>
    <t>E2240</t>
  </si>
  <si>
    <t>Slough</t>
  </si>
  <si>
    <t>E0304</t>
  </si>
  <si>
    <t>Solihull</t>
  </si>
  <si>
    <t>E4605</t>
  </si>
  <si>
    <t>South Bucks</t>
  </si>
  <si>
    <t>E0434</t>
  </si>
  <si>
    <t>South Cambridgeshire</t>
  </si>
  <si>
    <t>E0536</t>
  </si>
  <si>
    <t>South Derbyshire</t>
  </si>
  <si>
    <t>E1039</t>
  </si>
  <si>
    <t>South Gloucestershire</t>
  </si>
  <si>
    <t>E0103</t>
  </si>
  <si>
    <t>South Hams</t>
  </si>
  <si>
    <t>E1136</t>
  </si>
  <si>
    <t>South Holland</t>
  </si>
  <si>
    <t>E2535</t>
  </si>
  <si>
    <t>South Kesteven</t>
  </si>
  <si>
    <t>E2536</t>
  </si>
  <si>
    <t>South Lakeland</t>
  </si>
  <si>
    <t>E0936</t>
  </si>
  <si>
    <t>South Norfolk</t>
  </si>
  <si>
    <t>E2637</t>
  </si>
  <si>
    <t>South Northamptonshire</t>
  </si>
  <si>
    <t>E2836</t>
  </si>
  <si>
    <t>South Oxfordshire</t>
  </si>
  <si>
    <t>E3133</t>
  </si>
  <si>
    <t>South Ribble</t>
  </si>
  <si>
    <t>E2342</t>
  </si>
  <si>
    <t>South Somerset</t>
  </si>
  <si>
    <t>E3334</t>
  </si>
  <si>
    <t>South Staffordshire</t>
  </si>
  <si>
    <t>E3435</t>
  </si>
  <si>
    <t>South Tyneside</t>
  </si>
  <si>
    <t>E4504</t>
  </si>
  <si>
    <t>Southampton</t>
  </si>
  <si>
    <t>E1702</t>
  </si>
  <si>
    <t>Southend-on-Sea</t>
  </si>
  <si>
    <t>E1501</t>
  </si>
  <si>
    <t>Southwark</t>
  </si>
  <si>
    <t>E5019</t>
  </si>
  <si>
    <t>Spelthorne</t>
  </si>
  <si>
    <t>E3637</t>
  </si>
  <si>
    <t>St Albans</t>
  </si>
  <si>
    <t>E1936</t>
  </si>
  <si>
    <t>St Edmundsbury</t>
  </si>
  <si>
    <t>E3535</t>
  </si>
  <si>
    <t>St Helens</t>
  </si>
  <si>
    <t>E4303</t>
  </si>
  <si>
    <t>Stafford</t>
  </si>
  <si>
    <t>E3436</t>
  </si>
  <si>
    <t>Staffordshire Moorlands</t>
  </si>
  <si>
    <t>E3437</t>
  </si>
  <si>
    <t>Stevenage</t>
  </si>
  <si>
    <t>E1937</t>
  </si>
  <si>
    <t>Stockport</t>
  </si>
  <si>
    <t>E4207</t>
  </si>
  <si>
    <t>Stockton-on-Tees</t>
  </si>
  <si>
    <t>E0704</t>
  </si>
  <si>
    <t>Stoke-on-Trent</t>
  </si>
  <si>
    <t>E3401</t>
  </si>
  <si>
    <t>Stratford-on-Avon</t>
  </si>
  <si>
    <t>E3734</t>
  </si>
  <si>
    <t>Stroud</t>
  </si>
  <si>
    <t>E1635</t>
  </si>
  <si>
    <t>Suffolk Coastal</t>
  </si>
  <si>
    <t>E3536</t>
  </si>
  <si>
    <t>Sunderland</t>
  </si>
  <si>
    <t>E4505</t>
  </si>
  <si>
    <t>Surrey Heath</t>
  </si>
  <si>
    <t>E3638</t>
  </si>
  <si>
    <t>Sutton</t>
  </si>
  <si>
    <t>E5048</t>
  </si>
  <si>
    <t>Swale</t>
  </si>
  <si>
    <t>E2241</t>
  </si>
  <si>
    <t>Swindon</t>
  </si>
  <si>
    <t>E3901</t>
  </si>
  <si>
    <t>Tameside</t>
  </si>
  <si>
    <t>E4208</t>
  </si>
  <si>
    <t>Tamworth</t>
  </si>
  <si>
    <t>E3439</t>
  </si>
  <si>
    <t>Tandridge</t>
  </si>
  <si>
    <t>E3639</t>
  </si>
  <si>
    <t>Taunton Deane</t>
  </si>
  <si>
    <t>E3333</t>
  </si>
  <si>
    <t>Teignbridge</t>
  </si>
  <si>
    <t>E1137</t>
  </si>
  <si>
    <t>Telford and the Wrekin</t>
  </si>
  <si>
    <t>E3201</t>
  </si>
  <si>
    <t>Tendring</t>
  </si>
  <si>
    <t>E1542</t>
  </si>
  <si>
    <t>Test Valley</t>
  </si>
  <si>
    <t>E1742</t>
  </si>
  <si>
    <t>Tewkesbury</t>
  </si>
  <si>
    <t>E1636</t>
  </si>
  <si>
    <t>Thanet</t>
  </si>
  <si>
    <t>E2242</t>
  </si>
  <si>
    <t>Three Rivers</t>
  </si>
  <si>
    <t>E1938</t>
  </si>
  <si>
    <t>Thurrock</t>
  </si>
  <si>
    <t>E1502</t>
  </si>
  <si>
    <t>Tonbridge and Malling</t>
  </si>
  <si>
    <t>E2243</t>
  </si>
  <si>
    <t>Torbay</t>
  </si>
  <si>
    <t>E1102</t>
  </si>
  <si>
    <t>Torridge</t>
  </si>
  <si>
    <t>E1139</t>
  </si>
  <si>
    <t>Tower Hamlets</t>
  </si>
  <si>
    <t>E5020</t>
  </si>
  <si>
    <t>Trafford</t>
  </si>
  <si>
    <t>E4209</t>
  </si>
  <si>
    <t>Tunbridge Wells</t>
  </si>
  <si>
    <t>E2244</t>
  </si>
  <si>
    <t>Uttlesford</t>
  </si>
  <si>
    <t>E1544</t>
  </si>
  <si>
    <t>Vale of White Horse</t>
  </si>
  <si>
    <t>E3134</t>
  </si>
  <si>
    <t>Wakefield</t>
  </si>
  <si>
    <t>E4705</t>
  </si>
  <si>
    <t>Walsall</t>
  </si>
  <si>
    <t>E4606</t>
  </si>
  <si>
    <t>Waltham Forest</t>
  </si>
  <si>
    <t>E5049</t>
  </si>
  <si>
    <t>Wandsworth</t>
  </si>
  <si>
    <t>E5021</t>
  </si>
  <si>
    <t>Warrington</t>
  </si>
  <si>
    <t>E0602</t>
  </si>
  <si>
    <t>Warwick</t>
  </si>
  <si>
    <t>E3735</t>
  </si>
  <si>
    <t>Watford</t>
  </si>
  <si>
    <t>E1939</t>
  </si>
  <si>
    <t>Waveney</t>
  </si>
  <si>
    <t>E3537</t>
  </si>
  <si>
    <t>Waverley</t>
  </si>
  <si>
    <t>E3640</t>
  </si>
  <si>
    <t>Wealden</t>
  </si>
  <si>
    <t>E1437</t>
  </si>
  <si>
    <t>Wellingborough</t>
  </si>
  <si>
    <t>E2837</t>
  </si>
  <si>
    <t>Welwyn Hatfield</t>
  </si>
  <si>
    <t>E1940</t>
  </si>
  <si>
    <t>West Berkshire</t>
  </si>
  <si>
    <t>E0302</t>
  </si>
  <si>
    <t>West Devon</t>
  </si>
  <si>
    <t>E1140</t>
  </si>
  <si>
    <t>West Dorset</t>
  </si>
  <si>
    <t>E1237</t>
  </si>
  <si>
    <t>West Lancashire</t>
  </si>
  <si>
    <t>E2343</t>
  </si>
  <si>
    <t>West Lindsey</t>
  </si>
  <si>
    <t>E2537</t>
  </si>
  <si>
    <t>West Oxfordshire</t>
  </si>
  <si>
    <t>E3135</t>
  </si>
  <si>
    <t>West Somerset</t>
  </si>
  <si>
    <t>E3335</t>
  </si>
  <si>
    <t>Westminster</t>
  </si>
  <si>
    <t>E5022</t>
  </si>
  <si>
    <t>Weymouth and Portland</t>
  </si>
  <si>
    <t>E1238</t>
  </si>
  <si>
    <t>Wigan</t>
  </si>
  <si>
    <t>E4210</t>
  </si>
  <si>
    <t>Winchester</t>
  </si>
  <si>
    <t>E1743</t>
  </si>
  <si>
    <t>Windsor and Maidenhead</t>
  </si>
  <si>
    <t>E0305</t>
  </si>
  <si>
    <t>Wirral</t>
  </si>
  <si>
    <t>E4305</t>
  </si>
  <si>
    <t>Woking</t>
  </si>
  <si>
    <t>E3641</t>
  </si>
  <si>
    <t>Wokingham</t>
  </si>
  <si>
    <t>E0306</t>
  </si>
  <si>
    <t>Wolverhampton</t>
  </si>
  <si>
    <t>E4607</t>
  </si>
  <si>
    <t>Worcester</t>
  </si>
  <si>
    <t>E1837</t>
  </si>
  <si>
    <t>Worthing</t>
  </si>
  <si>
    <t>E3837</t>
  </si>
  <si>
    <t>Wychavon</t>
  </si>
  <si>
    <t>E1838</t>
  </si>
  <si>
    <t>Wycombe</t>
  </si>
  <si>
    <t>E0435</t>
  </si>
  <si>
    <t>Wyre</t>
  </si>
  <si>
    <t>E2344</t>
  </si>
  <si>
    <t>Wyre Forest</t>
  </si>
  <si>
    <t>E1839</t>
  </si>
  <si>
    <t>York</t>
  </si>
  <si>
    <t>E2701</t>
  </si>
  <si>
    <t>ZZZZ</t>
  </si>
  <si>
    <t>EZZZZ</t>
  </si>
  <si>
    <t>received</t>
  </si>
  <si>
    <t>FULL DATA SET</t>
  </si>
  <si>
    <t>Receipts of council taxes from council tax payers (net of refunds), and receipts of Crown (MOD) contributions in aid of council taxes.</t>
  </si>
  <si>
    <t>This section gives authorities the opportunity to provide revised figures on the amount of council tax and non domestic rate receipts collected</t>
  </si>
  <si>
    <t>Page 1</t>
  </si>
  <si>
    <t xml:space="preserve">Council </t>
  </si>
  <si>
    <t>Tax</t>
  </si>
  <si>
    <t>National Non</t>
  </si>
  <si>
    <t>Domestic Rates</t>
  </si>
  <si>
    <t xml:space="preserve">SECTION II: COMMUNITY CHARGES </t>
  </si>
  <si>
    <t>SECTION III: COUNCIL TAX ARREARS INFORMATION</t>
  </si>
  <si>
    <t>QUARTERLY RETURN OF COUNCIL TAXES AND NON-DOMESTIC RATES QRC4</t>
  </si>
  <si>
    <t>Please enter your details after checking that you have selected the correct authority name</t>
  </si>
  <si>
    <t>Completing the form</t>
  </si>
  <si>
    <r>
      <t xml:space="preserve">White, black border - these cells are blank for new data - </t>
    </r>
    <r>
      <rPr>
        <b/>
        <i/>
        <u/>
        <sz val="11"/>
        <rFont val="Arial"/>
        <family val="2"/>
      </rPr>
      <t>Please ensure all the white cells are filled in before submitting the form</t>
    </r>
    <r>
      <rPr>
        <b/>
        <i/>
        <sz val="11"/>
        <rFont val="Arial"/>
        <family val="2"/>
      </rPr>
      <t>.</t>
    </r>
  </si>
  <si>
    <r>
      <t xml:space="preserve">White, blue border - These cells are all calculations and have the appropriate formula.  There should be </t>
    </r>
    <r>
      <rPr>
        <b/>
        <i/>
        <u/>
        <sz val="11"/>
        <rFont val="Arial"/>
        <family val="2"/>
      </rPr>
      <t>no need</t>
    </r>
    <r>
      <rPr>
        <b/>
        <i/>
        <sz val="11"/>
        <rFont val="Arial"/>
        <family val="2"/>
      </rPr>
      <t xml:space="preserve"> to overwrite these cells.</t>
    </r>
  </si>
  <si>
    <t>Checking the Validation Sheet</t>
  </si>
  <si>
    <t>Certifying the Form</t>
  </si>
  <si>
    <t>Problems</t>
  </si>
  <si>
    <t>Herefordshire</t>
  </si>
  <si>
    <t>Medway</t>
  </si>
  <si>
    <t>Please email to qrc.statistics@communities.gsi.gov.uk</t>
  </si>
  <si>
    <t>Problems with this workbook should be e-mailed to : qrc.statistics@communities.gsi.gov.uk</t>
  </si>
  <si>
    <t>Ver 1.0</t>
  </si>
  <si>
    <t xml:space="preserve"> to which the receipts relate</t>
  </si>
  <si>
    <t>% Difference</t>
  </si>
  <si>
    <t>Total receipts collected irrespective of year (line 8)</t>
  </si>
  <si>
    <t>Sum of quarters (lines 9 to 12)</t>
  </si>
  <si>
    <t>Line 1</t>
  </si>
  <si>
    <t>Line 2</t>
  </si>
  <si>
    <t>Line 3</t>
  </si>
  <si>
    <t>Line 4</t>
  </si>
  <si>
    <t>Line 5</t>
  </si>
  <si>
    <t>Line 6</t>
  </si>
  <si>
    <t>Line 7</t>
  </si>
  <si>
    <t>Line 8</t>
  </si>
  <si>
    <t>Line 12</t>
  </si>
  <si>
    <t>Line 14</t>
  </si>
  <si>
    <t>Zone 5/J6, Eland House, Bressenden Place, London, SW1E 5DU</t>
  </si>
  <si>
    <t>Test 11 : Council Tax arrears</t>
  </si>
  <si>
    <t>Test 13 : Check of community charge data</t>
  </si>
  <si>
    <t>Test 6 : Total receipts on QRC4 more than 20% greater than that reported for quarters1, 2 &amp; 3 on QRC3</t>
  </si>
  <si>
    <t>net of refunds made in respect of those years</t>
  </si>
  <si>
    <t xml:space="preserve"> which the receipts relate (Line 3 + Line 6 + Line 7)</t>
  </si>
  <si>
    <t>Col 1 line 1</t>
  </si>
  <si>
    <t>Col 2 line 1</t>
  </si>
  <si>
    <t>Col 1 line 2</t>
  </si>
  <si>
    <t>Col 1 line 3</t>
  </si>
  <si>
    <t>Col 1 line 4</t>
  </si>
  <si>
    <t>Col 1 line 5</t>
  </si>
  <si>
    <t>Col 1 line 6</t>
  </si>
  <si>
    <t>Col 1 line 7</t>
  </si>
  <si>
    <t>Col 1 line 8</t>
  </si>
  <si>
    <t>Col 1 line 9</t>
  </si>
  <si>
    <t>Col 1 line 10</t>
  </si>
  <si>
    <t>Col 1 line 11</t>
  </si>
  <si>
    <t>Col 1 line 12</t>
  </si>
  <si>
    <t>Col 1 line 13</t>
  </si>
  <si>
    <t>Col 2 line 2</t>
  </si>
  <si>
    <t>Col 2 line 3</t>
  </si>
  <si>
    <t>Col 2 line 4</t>
  </si>
  <si>
    <t>Col 2 line 5</t>
  </si>
  <si>
    <t>Col 2 line 6</t>
  </si>
  <si>
    <t>Col 2 line 7</t>
  </si>
  <si>
    <t>Col 2 line 8</t>
  </si>
  <si>
    <t>Col 2 line 9</t>
  </si>
  <si>
    <t>Col 2 line 10</t>
  </si>
  <si>
    <t>Col 2 line 11</t>
  </si>
  <si>
    <t>Col 2 line 12</t>
  </si>
  <si>
    <t>Col 2 line 14</t>
  </si>
  <si>
    <t>Col 2 line 15</t>
  </si>
  <si>
    <t>Col 2 line 16</t>
  </si>
  <si>
    <t>Col 2 line 17</t>
  </si>
  <si>
    <t>Col 2 line 18</t>
  </si>
  <si>
    <t>Col 2 line 19</t>
  </si>
  <si>
    <t>Col 2 line 20</t>
  </si>
  <si>
    <t>Col 2 line 21</t>
  </si>
  <si>
    <t>Col 2 line 22</t>
  </si>
  <si>
    <t>Col 2 line 23</t>
  </si>
  <si>
    <t>Col 2 line 24</t>
  </si>
  <si>
    <t>Col 2 line 25</t>
  </si>
  <si>
    <t>Col 2 line 26</t>
  </si>
  <si>
    <t xml:space="preserve">Line 20 </t>
  </si>
  <si>
    <t>Page 2</t>
  </si>
  <si>
    <t>CTAX USER ENTRY</t>
  </si>
  <si>
    <t>NNDR USER ENTRY</t>
  </si>
  <si>
    <t>CTAX VALIDATION</t>
  </si>
  <si>
    <t>NNDR VALIDATION</t>
  </si>
  <si>
    <t>This sheet has details of our validation checks.  If there are any figures in the blue boxes your form has failed our validation checks.</t>
  </si>
  <si>
    <t>NNDR</t>
  </si>
  <si>
    <t>Click here to return to form</t>
  </si>
  <si>
    <t>Click here to return to the form</t>
  </si>
  <si>
    <t>QRC3 data</t>
  </si>
  <si>
    <t>Validation parameters summary</t>
  </si>
  <si>
    <t>Test 1</t>
  </si>
  <si>
    <t>Test 2</t>
  </si>
  <si>
    <t>Test 3</t>
  </si>
  <si>
    <t>Test 4</t>
  </si>
  <si>
    <t>Test 5</t>
  </si>
  <si>
    <t>Test 6</t>
  </si>
  <si>
    <t>Test 7</t>
  </si>
  <si>
    <t>Test 8</t>
  </si>
  <si>
    <t>Test 9</t>
  </si>
  <si>
    <t>Test 10</t>
  </si>
  <si>
    <t>Test 11</t>
  </si>
  <si>
    <t>Test 12</t>
  </si>
  <si>
    <t>Test 13</t>
  </si>
  <si>
    <t>Test 14</t>
  </si>
  <si>
    <t>Test 15</t>
  </si>
  <si>
    <t>Council tax</t>
  </si>
  <si>
    <t>Click here to return the form</t>
  </si>
  <si>
    <t>Community charge</t>
  </si>
  <si>
    <t>of  C Taxes received</t>
  </si>
  <si>
    <t xml:space="preserve"> irrespective of year</t>
  </si>
  <si>
    <t>of NNDR</t>
  </si>
  <si>
    <t>irrespective of year</t>
  </si>
  <si>
    <t>qrc.statistics@communities.gsi.gov.uk</t>
  </si>
  <si>
    <t xml:space="preserve">Please e-mail to : </t>
  </si>
  <si>
    <t>FOR COMMUNITIES AND LOCAL GOVERNMENT USE ONLY PLEASE DO NOT AMEND</t>
  </si>
  <si>
    <t>Central Bedfordshire UA</t>
  </si>
  <si>
    <t>Cheshire East UA</t>
  </si>
  <si>
    <t>Cheshire West and Chester UA</t>
  </si>
  <si>
    <t>Cornwall UA</t>
  </si>
  <si>
    <t>Northumberland UA</t>
  </si>
  <si>
    <t>Shropshire UA</t>
  </si>
  <si>
    <t>Wiltshire UA</t>
  </si>
  <si>
    <t>E0202</t>
  </si>
  <si>
    <t>E0203</t>
  </si>
  <si>
    <t>E0603</t>
  </si>
  <si>
    <t>E0604</t>
  </si>
  <si>
    <t>E0801</t>
  </si>
  <si>
    <t>E1302</t>
  </si>
  <si>
    <t>E2901</t>
  </si>
  <si>
    <t>E3202</t>
  </si>
  <si>
    <t>E3902</t>
  </si>
  <si>
    <r>
      <t xml:space="preserve">This section deals with arrears for council tax only. Information in this section is gross arrears and </t>
    </r>
    <r>
      <rPr>
        <b/>
        <u/>
        <sz val="12"/>
        <rFont val="Arial"/>
        <family val="2"/>
      </rPr>
      <t>includes</t>
    </r>
    <r>
      <rPr>
        <sz val="12"/>
        <rFont val="Arial"/>
        <family val="2"/>
      </rPr>
      <t xml:space="preserve"> administration and court costs.</t>
    </r>
  </si>
  <si>
    <t>i.e. adjustments that change the arrears figure either up or down. (Only include refunds relating to arrears).</t>
  </si>
  <si>
    <r>
      <t>26</t>
    </r>
    <r>
      <rPr>
        <sz val="12"/>
        <rFont val="Arial"/>
        <family val="2"/>
      </rPr>
      <t xml:space="preserve"> Please show here the amount of court and administration costs included in line 25.</t>
    </r>
  </si>
  <si>
    <t>I certify to the best of my knowledge and belief, the entries in Lines 1 to 26 of this form are the best estimates I can make using the information available to me.</t>
  </si>
  <si>
    <t xml:space="preserve">Please provide any additional information &amp; comments here -  </t>
  </si>
  <si>
    <t>1. The form can be set up for each individual local authority by selecting the appropriate authority name from the list. The example shows the local authority ZZZZ.  Once a local authority name is selected the spreadsheet will automatically fill in data already known to the Department for Communities and Local Government. There should be no need to change the data but please check it carefully before completing the rest of the form.</t>
  </si>
  <si>
    <t xml:space="preserve">2.  There are two types of cell: </t>
  </si>
  <si>
    <t>Line 21</t>
  </si>
  <si>
    <t>Line 16</t>
  </si>
  <si>
    <t xml:space="preserve">A certified copy of the form should be sent to Dennis Herbert, Department for Communities and Local Government, </t>
  </si>
  <si>
    <t>The certified copy of the form must be sent to Dennis Herbert, LGF-DCAA, Department for Communities and Local Government, Zone 5/J6, Eland House, Bressenden Place, London, SW1E 5DU as soon as possible after completion.</t>
  </si>
  <si>
    <t xml:space="preserve">6. If changes need to be made, please reprint the form and get the revised form signed and dated by your Chief Financial Officer. </t>
  </si>
  <si>
    <t>7.  If you experience any problems using the form please email qrc.statistics@communities.gsi.gov.uk</t>
  </si>
  <si>
    <t>2012-13</t>
  </si>
  <si>
    <t>from CTR1</t>
  </si>
  <si>
    <t>Arrears collected in 2012-13 from QRC4 2012-13</t>
  </si>
  <si>
    <t>For DCLG use only</t>
  </si>
  <si>
    <t>CTR info</t>
  </si>
  <si>
    <t>CTR1 calctn</t>
  </si>
  <si>
    <t>2013-14 QUARTERLY RETURN OF COUNCIL TAX (QRC4)</t>
  </si>
  <si>
    <t>FINAL OUTTURN INFORMATION 2013-14</t>
  </si>
  <si>
    <r>
      <t xml:space="preserve">This return should be returned no later than </t>
    </r>
    <r>
      <rPr>
        <b/>
        <sz val="12"/>
        <rFont val="Arial"/>
        <family val="2"/>
      </rPr>
      <t>Friday 16 May 2014</t>
    </r>
  </si>
  <si>
    <t>QUARTERLY RETURN OF COUNCIL TAXES AND NON-DOMESTIC RATES QRC4 2013-14</t>
  </si>
  <si>
    <r>
      <t xml:space="preserve">A certified version of the QRC4 should reach the Department for Communities and Local Government no later than </t>
    </r>
    <r>
      <rPr>
        <b/>
        <sz val="14"/>
        <rFont val="Arial"/>
        <family val="2"/>
      </rPr>
      <t>Friday 16 May 2014</t>
    </r>
  </si>
  <si>
    <t>SECTION I : COUNCIL TAX AND NON-DOMESTIC RATES - TOTAL RECEIPTS IN THE PERIOD 1 APRIL 2013 TO 31 MARCH 2014</t>
  </si>
  <si>
    <t>2 Prepayments-cash receipts collected in previous years in respect of 13-14</t>
  </si>
  <si>
    <t>3 Estimated 13-14 receipts collected in 13-14, net of refunds granted in respect of 13-14 only</t>
  </si>
  <si>
    <t>4 Total 13-14 receipts, net of refunds granted in respect of 13-14 only (Line 2 + Line 3)</t>
  </si>
  <si>
    <t>5 In-year collection rate for 13-14 (Line 4/Line 1 x 100, to 2 decimal places)</t>
  </si>
  <si>
    <t xml:space="preserve">6 Estimated receipts of previous years council taxes or non-domestic rates received in 13-14 only, </t>
  </si>
  <si>
    <r>
      <t xml:space="preserve">7 </t>
    </r>
    <r>
      <rPr>
        <sz val="12"/>
        <rFont val="Arial"/>
        <family val="2"/>
      </rPr>
      <t xml:space="preserve">Estimated receipts of 14-15 council taxes or non-domestic rates, received before 1 April 2014 and any other </t>
    </r>
  </si>
  <si>
    <t xml:space="preserve"> credits carried forward in respect of those years on 31 March 2014</t>
  </si>
  <si>
    <t xml:space="preserve">8 Total estimated receipts of council taxes or non-domestic rates in 13-14, irrespective of year to </t>
  </si>
  <si>
    <t>in quarter 1 to quarter 3 of 13-14, and the amount of receipts received in quarter 4 of 13-14.</t>
  </si>
  <si>
    <t>Receipts of council taxes and non domestic rate collected during 13-14, broken down by quarter, irrespective of the financial year (previous, current or future years)</t>
  </si>
  <si>
    <r>
      <t xml:space="preserve">9 </t>
    </r>
    <r>
      <rPr>
        <sz val="12"/>
        <rFont val="Arial"/>
        <family val="2"/>
      </rPr>
      <t>Receipts collected between April 2013 - June 2013 (Quarter 1)</t>
    </r>
  </si>
  <si>
    <r>
      <t xml:space="preserve">10 </t>
    </r>
    <r>
      <rPr>
        <sz val="12"/>
        <rFont val="Arial"/>
        <family val="2"/>
      </rPr>
      <t>Receipts collected between July 2013 - September 2013 (Quarter 2)</t>
    </r>
  </si>
  <si>
    <r>
      <t xml:space="preserve">11 </t>
    </r>
    <r>
      <rPr>
        <sz val="12"/>
        <rFont val="Arial"/>
        <family val="2"/>
      </rPr>
      <t>Receipts collected between October 2013 - December 2013 (Quarter 3)</t>
    </r>
  </si>
  <si>
    <r>
      <t xml:space="preserve">12 </t>
    </r>
    <r>
      <rPr>
        <sz val="12"/>
        <rFont val="Arial"/>
        <family val="2"/>
      </rPr>
      <t>Receipts collected between January 2014 - March 2014 (Quarter 4)</t>
    </r>
  </si>
  <si>
    <t>Special Factors affecting in-year collection rates in 13-14</t>
  </si>
  <si>
    <t>2013-14</t>
  </si>
  <si>
    <t>A certified version of the QRC4 should reach the Department for Communities and Local Government no later than Friday 16 May 2014</t>
  </si>
  <si>
    <t>14 Receipts of community charge in 13-14 from community charge payers, net of refunds</t>
  </si>
  <si>
    <t>15 Estimated community charge write offs in 13-14 (if available)</t>
  </si>
  <si>
    <r>
      <t xml:space="preserve">16 </t>
    </r>
    <r>
      <rPr>
        <sz val="12"/>
        <rFont val="Arial"/>
        <family val="2"/>
      </rPr>
      <t>Arrears for 12-13 and earlier years brought forward on 1 April 2013</t>
    </r>
  </si>
  <si>
    <r>
      <t xml:space="preserve">17 </t>
    </r>
    <r>
      <rPr>
        <sz val="12"/>
        <rFont val="Arial"/>
        <family val="2"/>
      </rPr>
      <t>Net adjustments made in 13-14 to arrears included in the net collectable debit for 12-13 and earlier years, which are included in line 16</t>
    </r>
  </si>
  <si>
    <t xml:space="preserve">18 Arrears relating to 12-13 and earlier years before write-offs in 13-14 (line 16 + line 17) </t>
  </si>
  <si>
    <r>
      <t xml:space="preserve">19 </t>
    </r>
    <r>
      <rPr>
        <sz val="12"/>
        <rFont val="Arial"/>
        <family val="2"/>
      </rPr>
      <t>Amount of receipts collected in 13-14 relating to arrears for 12-13 or earlier years (Do not include refunds)</t>
    </r>
  </si>
  <si>
    <r>
      <t>22</t>
    </r>
    <r>
      <rPr>
        <sz val="12"/>
        <rFont val="Arial"/>
        <family val="2"/>
      </rPr>
      <t xml:space="preserve"> Amounts uncollected in 13-14 (Net collectable debit for 13-14 less receipts relating to 13-14) (line1 col1 minus line4 col1 plus costs) </t>
    </r>
  </si>
  <si>
    <r>
      <t>23</t>
    </r>
    <r>
      <rPr>
        <sz val="12"/>
        <rFont val="Arial"/>
        <family val="2"/>
      </rPr>
      <t xml:space="preserve"> Write offs made in 13-14 relating to 13-14 only</t>
    </r>
  </si>
  <si>
    <t xml:space="preserve">24 Total arrears in respect of 13-14 outstanding as at 31 March 2014 (line 22 - line 23) </t>
  </si>
  <si>
    <r>
      <t>25 Total Arrears outstanding as at 31 March 2014</t>
    </r>
    <r>
      <rPr>
        <sz val="12"/>
        <rFont val="Arial"/>
        <family val="2"/>
      </rPr>
      <t xml:space="preserve"> (line 21 + line 24) </t>
    </r>
  </si>
  <si>
    <r>
      <t xml:space="preserve">NB </t>
    </r>
    <r>
      <rPr>
        <sz val="12"/>
        <rFont val="Arial"/>
        <family val="2"/>
      </rPr>
      <t>This arrears figure will be shown in the equivalent to line 16 on your QRC4 for 14-15</t>
    </r>
  </si>
  <si>
    <t>Any large % changes in figures between data on the QRC4 2012-13 or QRC3 2013-14 and the QRC4 2013-14 form, or unusual figures when lines from your QRC4 2013-14 form are expressed as a percentage of other lines, will need to be explained in the relevant boxes next to the test.</t>
  </si>
  <si>
    <t>Test 1 : Line 9 from QRC4 2013-14 compared with quarter 1 information from QRC3 2013-14</t>
  </si>
  <si>
    <t>Line 9 QRC4 2013-14</t>
  </si>
  <si>
    <t>Test 2 : Line 10 from QRC4 2013-14 compared with quarter 2 information from QRC3 2013-14</t>
  </si>
  <si>
    <t>Line 10 QRC4 2013-14</t>
  </si>
  <si>
    <t>Test 3 : Line 11 from QRC4 2013-14 compared with quarter 3 from QRC3 2013-14</t>
  </si>
  <si>
    <t>Line  11 QRC4 2013-14</t>
  </si>
  <si>
    <t>Test 4 : Comparison of sum of quarter 1, 2 &amp; 3 from QRC4 2013-14 with sum of quarter 1, 2 &amp; 3 from QRC3 2013-14</t>
  </si>
  <si>
    <t>Sum of Quarter 1, 2 &amp; 3 from QRC4 2013-14</t>
  </si>
  <si>
    <t>Sum of Quarter 1, 2 &amp; 3 from QRC3 2013-14</t>
  </si>
  <si>
    <t>Test 5 : Level of receipts collected for whole year should be higher than that collected up to 31 December 2013</t>
  </si>
  <si>
    <t>Collection of receipts between April 2013 - December 2013 from QRC3 2013-14</t>
  </si>
  <si>
    <t>Line 8 from QRC4 2013-14</t>
  </si>
  <si>
    <t>Test 7 :  Line 12 from QRC4 2013-14 compared with collection of receipts between January 2013 - March 2013 from QRC4 2012-13</t>
  </si>
  <si>
    <t>Line 12 from QRC4 2013-14</t>
  </si>
  <si>
    <t>Collection of receipts between January 2013 - March 2013 from QRC4 2012-13</t>
  </si>
  <si>
    <t>Test 8 : Lines 2 and 8 from QRC4 2013-14 compared with collection of receipts during financial year 2012-13</t>
  </si>
  <si>
    <t>Lines 2 and 8 (including prepayments) from QRC4 2013-14</t>
  </si>
  <si>
    <t>Collection of receipts between April 2012 - March 2013 (including prepayments) from QRC4 2012-13</t>
  </si>
  <si>
    <t>Test 9 : Comparison of prepayments/cash receipts collected in previous years iro 2013-14 charges with information provided on QRC4 2012-13</t>
  </si>
  <si>
    <t>Prepayments/Cash Receipts iro 2013-14 from QRC4 2013-14</t>
  </si>
  <si>
    <t>Test 10 : Line 5 from QRC4 2013-14 compared with collection rate in 2012-13</t>
  </si>
  <si>
    <t>Line 5 from QRC4 2013-14</t>
  </si>
  <si>
    <t>Collection Rate in 2012-13 from QRC4 2012-13</t>
  </si>
  <si>
    <t>Arrears collected in 2013-14 from QRC4 2013-14</t>
  </si>
  <si>
    <t>Test 12 : Comparison of collection of receipts collected in 2013-14 iro 2013-14 charges with collection of receipts collected in 2013-14 iro previous years charges</t>
  </si>
  <si>
    <t>Line 3 from QRC4 2013-14</t>
  </si>
  <si>
    <t>Line 6 from QRC4 2013-14</t>
  </si>
  <si>
    <t>Line 14 from QRC4 2013-14</t>
  </si>
  <si>
    <t>Net collectable debit from CTR1 2013-14 and NNDR1 2013-14 (NNDR)</t>
  </si>
  <si>
    <t>Council Tax info from QRC3 2013-14</t>
  </si>
  <si>
    <t>NDR info from QRC3 2013-14</t>
  </si>
  <si>
    <t>CC info from QRC3 2013-14</t>
  </si>
  <si>
    <t>Council Tax data from QRC4 2012-13</t>
  </si>
  <si>
    <t>Est receipts of 2012-13</t>
  </si>
  <si>
    <t>12-13 CT in</t>
  </si>
  <si>
    <t>2011-12 ctaxes</t>
  </si>
  <si>
    <t>in 2012-13</t>
  </si>
  <si>
    <t>Jan 2013-Mar 2013</t>
  </si>
  <si>
    <t>NNDR data from QRC4 2012-13</t>
  </si>
  <si>
    <t>2012-13 NNDR</t>
  </si>
  <si>
    <t>received in 2012-13</t>
  </si>
  <si>
    <t>NNDR1 2013-14</t>
  </si>
  <si>
    <t>13  - This line is not used in 2013-14</t>
  </si>
  <si>
    <r>
      <t>20a</t>
    </r>
    <r>
      <rPr>
        <sz val="12"/>
        <rFont val="Arial"/>
        <family val="2"/>
      </rPr>
      <t xml:space="preserve"> Amounts relating to 11-12 and earlier years written-off in 13-14</t>
    </r>
  </si>
  <si>
    <r>
      <t>20b</t>
    </r>
    <r>
      <rPr>
        <sz val="12"/>
        <rFont val="Arial"/>
        <family val="2"/>
      </rPr>
      <t xml:space="preserve"> Amounts relating to 12-13 only written-off in 13-14</t>
    </r>
  </si>
  <si>
    <t>21 Arrears relating to 12-13 and earlier years as at 31 March 2014 (line 18 - line 19 - line 20a - line 20b)</t>
  </si>
  <si>
    <r>
      <t xml:space="preserve">Amounts for council tax and non domestic rates should </t>
    </r>
    <r>
      <rPr>
        <b/>
        <u/>
        <sz val="12"/>
        <rFont val="Arial"/>
        <family val="2"/>
      </rPr>
      <t>not</t>
    </r>
    <r>
      <rPr>
        <b/>
        <sz val="12"/>
        <rFont val="Arial"/>
        <family val="2"/>
      </rPr>
      <t xml:space="preserve"> include any amounts received and payable to the general fund in respect of court costs and penalties.</t>
    </r>
  </si>
  <si>
    <t>1 Estimated net collectable debit in respect of 2013-14</t>
  </si>
  <si>
    <t>Prepayments/Cash Receipts iro 2012-13 from QRC4 2012-13</t>
  </si>
  <si>
    <t>Test 14 : Comparison of net collectable debit for Council Tax and Non-Domestic Rates from QRC4 2013-14 with CTR1 2013-14 and NNDR1 2013-14 (NNDR)</t>
  </si>
  <si>
    <t xml:space="preserve">Test 15 : Ensuring the receipts collected by quarters for Council Tax and Non-Domestic Rates equals the total receipts collected </t>
  </si>
  <si>
    <t>Difference</t>
  </si>
  <si>
    <t>Net collectable debit from QRC4 2013-14</t>
  </si>
  <si>
    <t>These instructions highlight the features of the electronic form and should be read in conjunction with
QRC4 Guidance Notes for 2013-14 and QRC4 Validation Notes for 2013-14.</t>
  </si>
  <si>
    <t>3.   Once the form is complete go to the Validation sheet and check if any of the data require any further explanation.  The data are compared with the both the QRC4 for 2012-13 and the QRC3 for 2013-14 and if the change is higher or lower than we would normally expect the percentage change or difference will appear in the blue boxes. If this occurs please provide an explanation for the change in the yellow box provided. For further details on the types of checks we do see QRC4 Validation Notes for 2013-14.</t>
  </si>
  <si>
    <t>4.  When the data have been checked and verified please email the complete form to qrc.statistics@communities.gsi.gov.uk</t>
  </si>
  <si>
    <r>
      <t xml:space="preserve">5.  </t>
    </r>
    <r>
      <rPr>
        <b/>
        <sz val="11"/>
        <rFont val="Arial"/>
        <family val="2"/>
      </rPr>
      <t xml:space="preserve"> Print a copy of the form for certification by your Chief Financial Officer / Section 151 officer.  </t>
    </r>
  </si>
  <si>
    <t>NICK BROCKLEBANK</t>
  </si>
  <si>
    <t>01424 451563</t>
  </si>
  <si>
    <t>nbrocklebank@hastings.gov.uk</t>
  </si>
  <si>
    <t>Improved collection due to 12 monthly instalments and no defer scheme for ndr.</t>
  </si>
  <si>
    <t>net collectable debit for QRC4 does not include Council Tax reduction.</t>
  </si>
</sst>
</file>

<file path=xl/styles.xml><?xml version="1.0" encoding="utf-8"?>
<styleSheet xmlns="http://schemas.openxmlformats.org/spreadsheetml/2006/main">
  <numFmts count="7">
    <numFmt numFmtId="164" formatCode="&quot;£&quot;#,##0_);[Red]\(&quot;£&quot;#,##0\)"/>
    <numFmt numFmtId="165" formatCode="_(&quot;£&quot;* #,##0.00_);_(&quot;£&quot;* \(#,##0.00\);_(&quot;£&quot;* &quot;-&quot;??_);_(@_)"/>
    <numFmt numFmtId="166" formatCode="_(* #,##0.00_);_(* \(#,##0.00\);_(* &quot;-&quot;??_);_(@_)"/>
    <numFmt numFmtId="167" formatCode="&quot;£&quot;#,##0"/>
    <numFmt numFmtId="168" formatCode="0.0"/>
    <numFmt numFmtId="169" formatCode="#,##0.0"/>
    <numFmt numFmtId="170" formatCode="_-* #,##0_-;\-* #,##0_-;_-* &quot;-&quot;??_-;_-@_-"/>
  </numFmts>
  <fonts count="65">
    <font>
      <sz val="10"/>
      <name val="Arial"/>
    </font>
    <font>
      <sz val="10"/>
      <name val="Arial"/>
      <family val="2"/>
    </font>
    <font>
      <b/>
      <sz val="12"/>
      <name val="Arial"/>
      <family val="2"/>
    </font>
    <font>
      <b/>
      <sz val="10"/>
      <name val="Arial"/>
      <family val="2"/>
    </font>
    <font>
      <sz val="11"/>
      <name val="Arial"/>
      <family val="2"/>
    </font>
    <font>
      <b/>
      <sz val="11"/>
      <name val="Arial"/>
      <family val="2"/>
    </font>
    <font>
      <sz val="10"/>
      <name val="Arial"/>
      <family val="2"/>
    </font>
    <font>
      <sz val="9"/>
      <name val="Arial"/>
      <family val="2"/>
    </font>
    <font>
      <sz val="14"/>
      <name val="Arial"/>
      <family val="2"/>
    </font>
    <font>
      <sz val="12"/>
      <name val="Arial"/>
      <family val="2"/>
    </font>
    <font>
      <b/>
      <i/>
      <sz val="12"/>
      <name val="Arial"/>
      <family val="2"/>
    </font>
    <font>
      <sz val="12"/>
      <name val="Times New Roman"/>
      <family val="1"/>
    </font>
    <font>
      <sz val="12"/>
      <name val="Arial"/>
      <family val="2"/>
    </font>
    <font>
      <i/>
      <sz val="12"/>
      <name val="Arial"/>
      <family val="2"/>
    </font>
    <font>
      <b/>
      <u/>
      <sz val="12"/>
      <name val="Arial"/>
      <family val="2"/>
    </font>
    <font>
      <sz val="10"/>
      <color indexed="8"/>
      <name val="Arial"/>
      <family val="2"/>
    </font>
    <font>
      <u/>
      <sz val="9"/>
      <color indexed="12"/>
      <name val="Arial"/>
      <family val="2"/>
    </font>
    <font>
      <b/>
      <sz val="9"/>
      <name val="Arial"/>
      <family val="2"/>
    </font>
    <font>
      <b/>
      <sz val="14"/>
      <name val="Arial"/>
      <family val="2"/>
    </font>
    <font>
      <b/>
      <u/>
      <sz val="18"/>
      <color indexed="8"/>
      <name val="Arial"/>
      <family val="2"/>
    </font>
    <font>
      <sz val="12"/>
      <color indexed="8"/>
      <name val="Arial"/>
      <family val="2"/>
    </font>
    <font>
      <sz val="16"/>
      <color indexed="8"/>
      <name val="Arial"/>
      <family val="2"/>
    </font>
    <font>
      <b/>
      <sz val="12"/>
      <color indexed="8"/>
      <name val="Arial"/>
      <family val="2"/>
    </font>
    <font>
      <b/>
      <sz val="10"/>
      <color indexed="8"/>
      <name val="Arial"/>
      <family val="2"/>
    </font>
    <font>
      <b/>
      <u/>
      <sz val="10"/>
      <name val="Arial"/>
      <family val="2"/>
    </font>
    <font>
      <b/>
      <sz val="10"/>
      <name val="Arial"/>
      <family val="2"/>
    </font>
    <font>
      <sz val="16"/>
      <name val="Arial"/>
      <family val="2"/>
    </font>
    <font>
      <b/>
      <sz val="16"/>
      <name val="Arial"/>
      <family val="2"/>
    </font>
    <font>
      <b/>
      <sz val="14"/>
      <color indexed="8"/>
      <name val="Arial"/>
      <family val="2"/>
    </font>
    <font>
      <b/>
      <sz val="12"/>
      <color indexed="10"/>
      <name val="Arial"/>
      <family val="2"/>
    </font>
    <font>
      <b/>
      <sz val="13"/>
      <name val="Arial"/>
      <family val="2"/>
    </font>
    <font>
      <sz val="16"/>
      <name val="Arial"/>
      <family val="2"/>
    </font>
    <font>
      <b/>
      <u/>
      <sz val="14"/>
      <name val="Arial"/>
      <family val="2"/>
    </font>
    <font>
      <b/>
      <sz val="14"/>
      <name val="Arial"/>
      <family val="2"/>
    </font>
    <font>
      <b/>
      <u/>
      <sz val="12"/>
      <name val="Arial"/>
      <family val="2"/>
    </font>
    <font>
      <b/>
      <sz val="12"/>
      <name val="Arial"/>
      <family val="2"/>
    </font>
    <font>
      <sz val="10"/>
      <color indexed="13"/>
      <name val="Arial"/>
      <family val="2"/>
    </font>
    <font>
      <b/>
      <u/>
      <sz val="11"/>
      <name val="Arial"/>
      <family val="2"/>
    </font>
    <font>
      <b/>
      <i/>
      <sz val="11"/>
      <name val="Arial"/>
      <family val="2"/>
    </font>
    <font>
      <b/>
      <i/>
      <u/>
      <sz val="11"/>
      <name val="Arial"/>
      <family val="2"/>
    </font>
    <font>
      <sz val="8"/>
      <name val="Arial"/>
      <family val="2"/>
    </font>
    <font>
      <sz val="10"/>
      <color indexed="42"/>
      <name val="Arial"/>
      <family val="2"/>
    </font>
    <font>
      <u/>
      <sz val="16"/>
      <color indexed="8"/>
      <name val="Arial"/>
      <family val="2"/>
    </font>
    <font>
      <sz val="14"/>
      <color indexed="8"/>
      <name val="Arial"/>
      <family val="2"/>
    </font>
    <font>
      <sz val="11"/>
      <name val="Arial"/>
      <family val="2"/>
    </font>
    <font>
      <b/>
      <sz val="12"/>
      <color indexed="12"/>
      <name val="Arial"/>
      <family val="2"/>
    </font>
    <font>
      <b/>
      <u/>
      <sz val="16"/>
      <color indexed="8"/>
      <name val="Arial"/>
      <family val="2"/>
    </font>
    <font>
      <u/>
      <sz val="14"/>
      <color indexed="8"/>
      <name val="Arial"/>
      <family val="2"/>
    </font>
    <font>
      <b/>
      <u/>
      <sz val="16"/>
      <name val="Arial"/>
      <family val="2"/>
    </font>
    <font>
      <sz val="8"/>
      <color indexed="8"/>
      <name val="Arial"/>
      <family val="2"/>
    </font>
    <font>
      <b/>
      <u/>
      <sz val="12"/>
      <color indexed="8"/>
      <name val="Arial"/>
      <family val="2"/>
    </font>
    <font>
      <b/>
      <sz val="16"/>
      <color indexed="18"/>
      <name val="Arial"/>
      <family val="2"/>
    </font>
    <font>
      <b/>
      <u/>
      <sz val="12"/>
      <color indexed="9"/>
      <name val="Arial"/>
      <family val="2"/>
    </font>
    <font>
      <sz val="18"/>
      <color indexed="22"/>
      <name val="Arial"/>
      <family val="2"/>
    </font>
    <font>
      <b/>
      <sz val="16"/>
      <color indexed="9"/>
      <name val="Arial"/>
      <family val="2"/>
    </font>
    <font>
      <sz val="10"/>
      <color indexed="8"/>
      <name val="Arial"/>
      <family val="2"/>
    </font>
    <font>
      <sz val="14"/>
      <color indexed="12"/>
      <name val="Arial"/>
      <family val="2"/>
    </font>
    <font>
      <b/>
      <sz val="10"/>
      <color indexed="10"/>
      <name val="Arial"/>
      <family val="2"/>
    </font>
    <font>
      <sz val="8"/>
      <color indexed="81"/>
      <name val="Tahoma"/>
      <family val="2"/>
    </font>
    <font>
      <b/>
      <sz val="8"/>
      <color indexed="81"/>
      <name val="Tahoma"/>
      <family val="2"/>
    </font>
    <font>
      <sz val="10"/>
      <color indexed="10"/>
      <name val="Arial"/>
      <family val="2"/>
    </font>
    <font>
      <sz val="10"/>
      <color indexed="9"/>
      <name val="Arial"/>
      <family val="2"/>
    </font>
    <font>
      <sz val="8"/>
      <color indexed="9"/>
      <name val="Arial"/>
      <family val="2"/>
    </font>
    <font>
      <sz val="14"/>
      <color indexed="9"/>
      <name val="Arial"/>
      <family val="2"/>
    </font>
    <font>
      <sz val="10"/>
      <color indexed="10"/>
      <name val="Arial"/>
      <family val="2"/>
    </font>
  </fonts>
  <fills count="15">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2"/>
        <bgColor indexed="64"/>
      </patternFill>
    </fill>
    <fill>
      <patternFill patternType="solid">
        <fgColor indexed="15"/>
        <bgColor indexed="64"/>
      </patternFill>
    </fill>
    <fill>
      <patternFill patternType="solid">
        <fgColor indexed="13"/>
        <bgColor indexed="64"/>
      </patternFill>
    </fill>
    <fill>
      <patternFill patternType="solid">
        <fgColor indexed="43"/>
        <bgColor indexed="64"/>
      </patternFill>
    </fill>
    <fill>
      <patternFill patternType="solid">
        <fgColor indexed="41"/>
        <bgColor indexed="64"/>
      </patternFill>
    </fill>
    <fill>
      <patternFill patternType="solid">
        <fgColor indexed="45"/>
        <bgColor indexed="64"/>
      </patternFill>
    </fill>
    <fill>
      <patternFill patternType="solid">
        <fgColor indexed="63"/>
        <bgColor indexed="64"/>
      </patternFill>
    </fill>
    <fill>
      <patternFill patternType="solid">
        <fgColor indexed="22"/>
        <bgColor indexed="64"/>
      </patternFill>
    </fill>
    <fill>
      <patternFill patternType="solid">
        <fgColor indexed="55"/>
        <bgColor indexed="64"/>
      </patternFill>
    </fill>
    <fill>
      <patternFill patternType="solid">
        <fgColor indexed="17"/>
        <bgColor indexed="64"/>
      </patternFill>
    </fill>
    <fill>
      <patternFill patternType="solid">
        <fgColor indexed="51"/>
        <bgColor indexed="64"/>
      </patternFill>
    </fill>
  </fills>
  <borders count="65">
    <border>
      <left/>
      <right/>
      <top/>
      <bottom/>
      <diagonal/>
    </border>
    <border>
      <left style="medium">
        <color indexed="64"/>
      </left>
      <right/>
      <top/>
      <bottom/>
      <diagonal/>
    </border>
    <border>
      <left/>
      <right/>
      <top style="thin">
        <color indexed="64"/>
      </top>
      <bottom/>
      <diagonal/>
    </border>
    <border>
      <left/>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bottom style="double">
        <color indexed="64"/>
      </bottom>
      <diagonal/>
    </border>
    <border>
      <left/>
      <right/>
      <top/>
      <bottom style="double">
        <color indexed="64"/>
      </bottom>
      <diagonal/>
    </border>
    <border>
      <left/>
      <right style="medium">
        <color indexed="64"/>
      </right>
      <top/>
      <bottom style="double">
        <color indexed="64"/>
      </bottom>
      <diagonal/>
    </border>
    <border>
      <left/>
      <right style="medium">
        <color indexed="64"/>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12"/>
      </left>
      <right style="medium">
        <color indexed="12"/>
      </right>
      <top style="medium">
        <color indexed="12"/>
      </top>
      <bottom style="medium">
        <color indexed="12"/>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indexed="64"/>
      </right>
      <top/>
      <bottom style="thin">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style="medium">
        <color indexed="64"/>
      </top>
      <bottom/>
      <diagonal/>
    </border>
    <border>
      <left/>
      <right style="thick">
        <color indexed="64"/>
      </right>
      <top style="medium">
        <color indexed="64"/>
      </top>
      <bottom/>
      <diagonal/>
    </border>
    <border>
      <left/>
      <right/>
      <top/>
      <bottom style="thick">
        <color indexed="64"/>
      </bottom>
      <diagonal/>
    </border>
    <border>
      <left/>
      <right style="thick">
        <color indexed="64"/>
      </right>
      <top/>
      <bottom style="thick">
        <color indexed="64"/>
      </bottom>
      <diagonal/>
    </border>
    <border>
      <left style="thick">
        <color indexed="64"/>
      </left>
      <right/>
      <top/>
      <bottom style="thick">
        <color indexed="64"/>
      </bottom>
      <diagonal/>
    </border>
    <border>
      <left style="thin">
        <color indexed="64"/>
      </left>
      <right/>
      <top/>
      <bottom style="double">
        <color indexed="64"/>
      </bottom>
      <diagonal/>
    </border>
    <border>
      <left/>
      <right style="thick">
        <color indexed="64"/>
      </right>
      <top/>
      <bottom style="double">
        <color indexed="64"/>
      </bottom>
      <diagonal/>
    </border>
    <border>
      <left style="thin">
        <color indexed="64"/>
      </left>
      <right/>
      <top/>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style="thin">
        <color indexed="64"/>
      </left>
      <right/>
      <top style="medium">
        <color indexed="64"/>
      </top>
      <bottom style="medium">
        <color indexed="64"/>
      </bottom>
      <diagonal/>
    </border>
    <border>
      <left style="thick">
        <color indexed="12"/>
      </left>
      <right style="thick">
        <color indexed="12"/>
      </right>
      <top style="thick">
        <color indexed="12"/>
      </top>
      <bottom style="thick">
        <color indexed="12"/>
      </bottom>
      <diagonal/>
    </border>
    <border>
      <left style="medium">
        <color indexed="64"/>
      </left>
      <right style="medium">
        <color indexed="64"/>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right style="thick">
        <color indexed="64"/>
      </right>
      <top/>
      <bottom style="medium">
        <color indexed="64"/>
      </bottom>
      <diagonal/>
    </border>
    <border>
      <left style="thick">
        <color indexed="64"/>
      </left>
      <right style="thin">
        <color indexed="64"/>
      </right>
      <top/>
      <bottom/>
      <diagonal/>
    </border>
    <border>
      <left style="thick">
        <color indexed="64"/>
      </left>
      <right style="thin">
        <color indexed="64"/>
      </right>
      <top/>
      <bottom style="thin">
        <color indexed="64"/>
      </bottom>
      <diagonal/>
    </border>
    <border>
      <left style="thick">
        <color indexed="64"/>
      </left>
      <right style="thin">
        <color indexed="64"/>
      </right>
      <top style="thin">
        <color indexed="64"/>
      </top>
      <bottom/>
      <diagonal/>
    </border>
    <border>
      <left style="thick">
        <color indexed="64"/>
      </left>
      <right style="thin">
        <color indexed="64"/>
      </right>
      <top/>
      <bottom style="thick">
        <color indexed="64"/>
      </bottom>
      <diagonal/>
    </border>
    <border>
      <left style="medium">
        <color indexed="64"/>
      </left>
      <right/>
      <top style="thin">
        <color indexed="64"/>
      </top>
      <bottom style="thin">
        <color indexed="64"/>
      </bottom>
      <diagonal/>
    </border>
  </borders>
  <cellStyleXfs count="6">
    <xf numFmtId="0" fontId="0" fillId="0" borderId="0"/>
    <xf numFmtId="166" fontId="1" fillId="0" borderId="0" applyFont="0" applyFill="0" applyBorder="0" applyAlignment="0" applyProtection="0"/>
    <xf numFmtId="165" fontId="1" fillId="0" borderId="0" applyFont="0" applyFill="0" applyBorder="0" applyAlignment="0" applyProtection="0"/>
    <xf numFmtId="0" fontId="16" fillId="0" borderId="0" applyNumberFormat="0" applyFill="0" applyBorder="0" applyAlignment="0" applyProtection="0">
      <alignment vertical="top"/>
      <protection locked="0"/>
    </xf>
    <xf numFmtId="0" fontId="1" fillId="0" borderId="0"/>
    <xf numFmtId="9" fontId="1" fillId="0" borderId="0" applyFont="0" applyFill="0" applyBorder="0" applyAlignment="0" applyProtection="0"/>
  </cellStyleXfs>
  <cellXfs count="731">
    <xf numFmtId="0" fontId="0" fillId="0" borderId="0" xfId="0"/>
    <xf numFmtId="0" fontId="0" fillId="2" borderId="0" xfId="0" applyFill="1"/>
    <xf numFmtId="0" fontId="8" fillId="0" borderId="0" xfId="0" applyFont="1"/>
    <xf numFmtId="0" fontId="2" fillId="3" borderId="1" xfId="0" applyFont="1" applyFill="1" applyBorder="1" applyAlignment="1" applyProtection="1">
      <alignment horizontal="left"/>
    </xf>
    <xf numFmtId="0" fontId="9" fillId="3" borderId="0" xfId="0" applyFont="1" applyFill="1" applyBorder="1" applyAlignment="1" applyProtection="1">
      <alignment horizontal="left"/>
    </xf>
    <xf numFmtId="0" fontId="2" fillId="3" borderId="0" xfId="0" applyFont="1" applyFill="1" applyBorder="1" applyAlignment="1" applyProtection="1">
      <alignment horizontal="left"/>
    </xf>
    <xf numFmtId="2" fontId="2" fillId="3" borderId="0" xfId="0" quotePrefix="1" applyNumberFormat="1" applyFont="1" applyFill="1" applyBorder="1" applyAlignment="1" applyProtection="1">
      <alignment horizontal="center"/>
    </xf>
    <xf numFmtId="0" fontId="12" fillId="0" borderId="0" xfId="0" applyFont="1"/>
    <xf numFmtId="0" fontId="9" fillId="3" borderId="1" xfId="0" applyFont="1" applyFill="1" applyBorder="1" applyAlignment="1" applyProtection="1">
      <alignment horizontal="left"/>
    </xf>
    <xf numFmtId="0" fontId="12" fillId="0" borderId="0" xfId="0" applyFont="1" applyAlignment="1">
      <alignment horizontal="left"/>
    </xf>
    <xf numFmtId="0" fontId="0" fillId="0" borderId="2" xfId="0" applyBorder="1"/>
    <xf numFmtId="0" fontId="0" fillId="2" borderId="0" xfId="0" applyFill="1" applyBorder="1"/>
    <xf numFmtId="0" fontId="0" fillId="0" borderId="0" xfId="0" applyBorder="1"/>
    <xf numFmtId="0" fontId="3" fillId="3" borderId="0" xfId="0" applyFont="1" applyFill="1" applyBorder="1" applyAlignment="1" applyProtection="1">
      <alignment horizontal="centerContinuous"/>
      <protection locked="0"/>
    </xf>
    <xf numFmtId="0" fontId="3" fillId="3" borderId="3" xfId="0" applyFont="1" applyFill="1" applyBorder="1" applyAlignment="1" applyProtection="1">
      <alignment horizontal="centerContinuous"/>
      <protection locked="0"/>
    </xf>
    <xf numFmtId="0" fontId="2" fillId="4" borderId="0" xfId="0" applyFont="1" applyFill="1" applyBorder="1" applyAlignment="1" applyProtection="1">
      <alignment horizontal="left"/>
    </xf>
    <xf numFmtId="0" fontId="3" fillId="3" borderId="0" xfId="0" applyFont="1" applyFill="1" applyBorder="1" applyAlignment="1" applyProtection="1">
      <alignment horizontal="left" vertical="top"/>
    </xf>
    <xf numFmtId="0" fontId="2" fillId="4" borderId="1" xfId="0" applyFont="1" applyFill="1" applyBorder="1" applyAlignment="1" applyProtection="1">
      <alignment horizontal="left"/>
    </xf>
    <xf numFmtId="0" fontId="12" fillId="3" borderId="1" xfId="0" applyFont="1" applyFill="1" applyBorder="1" applyAlignment="1">
      <alignment horizontal="left"/>
    </xf>
    <xf numFmtId="0" fontId="2" fillId="3" borderId="1" xfId="0" applyFont="1" applyFill="1" applyBorder="1" applyAlignment="1" applyProtection="1">
      <alignment horizontal="left" vertical="top"/>
    </xf>
    <xf numFmtId="0" fontId="2" fillId="3" borderId="0" xfId="0" applyFont="1" applyFill="1" applyBorder="1" applyAlignment="1" applyProtection="1">
      <alignment horizontal="left" vertical="top"/>
    </xf>
    <xf numFmtId="0" fontId="20" fillId="3" borderId="1" xfId="0" applyFont="1" applyFill="1" applyBorder="1" applyAlignment="1">
      <alignment horizontal="centerContinuous"/>
    </xf>
    <xf numFmtId="0" fontId="21" fillId="3" borderId="0" xfId="0" applyFont="1" applyFill="1" applyBorder="1" applyAlignment="1">
      <alignment horizontal="centerContinuous"/>
    </xf>
    <xf numFmtId="0" fontId="22" fillId="3" borderId="0" xfId="0" applyFont="1" applyFill="1" applyBorder="1" applyAlignment="1">
      <alignment horizontal="left"/>
    </xf>
    <xf numFmtId="0" fontId="9" fillId="3" borderId="0" xfId="0" applyFont="1" applyFill="1" applyBorder="1" applyAlignment="1" applyProtection="1">
      <alignment vertical="center"/>
    </xf>
    <xf numFmtId="0" fontId="9" fillId="3" borderId="0" xfId="0" applyFont="1" applyFill="1" applyBorder="1" applyAlignment="1" applyProtection="1"/>
    <xf numFmtId="0" fontId="9" fillId="2" borderId="0" xfId="0" applyFont="1" applyFill="1" applyBorder="1" applyAlignment="1"/>
    <xf numFmtId="3" fontId="6" fillId="4" borderId="1" xfId="0" applyNumberFormat="1" applyFont="1" applyFill="1" applyBorder="1" applyAlignment="1">
      <alignment horizontal="center"/>
    </xf>
    <xf numFmtId="0" fontId="3" fillId="4" borderId="0" xfId="0" applyFont="1" applyFill="1" applyBorder="1" applyAlignment="1">
      <alignment horizontal="center"/>
    </xf>
    <xf numFmtId="0" fontId="24" fillId="4" borderId="1" xfId="0" applyFont="1" applyFill="1" applyBorder="1" applyAlignment="1">
      <alignment horizontal="center"/>
    </xf>
    <xf numFmtId="0" fontId="24" fillId="4" borderId="0" xfId="0" applyFont="1" applyFill="1" applyBorder="1" applyAlignment="1">
      <alignment horizontal="center"/>
    </xf>
    <xf numFmtId="0" fontId="9" fillId="0" borderId="0" xfId="0" applyFont="1" applyAlignment="1"/>
    <xf numFmtId="0" fontId="2" fillId="2" borderId="0" xfId="0" applyFont="1" applyFill="1" applyBorder="1" applyAlignment="1">
      <alignment horizontal="center"/>
    </xf>
    <xf numFmtId="0" fontId="9" fillId="2" borderId="0" xfId="0" applyFont="1" applyFill="1" applyBorder="1" applyAlignment="1">
      <alignment vertical="top" wrapText="1"/>
    </xf>
    <xf numFmtId="0" fontId="9" fillId="0" borderId="0" xfId="0" applyFont="1"/>
    <xf numFmtId="0" fontId="9" fillId="2" borderId="0" xfId="0" applyFont="1" applyFill="1" applyAlignment="1"/>
    <xf numFmtId="0" fontId="0" fillId="0" borderId="0" xfId="0" applyAlignment="1"/>
    <xf numFmtId="0" fontId="9" fillId="2" borderId="0" xfId="0" applyFont="1" applyFill="1" applyBorder="1" applyAlignment="1">
      <alignment vertical="top"/>
    </xf>
    <xf numFmtId="0" fontId="6" fillId="0" borderId="0" xfId="0" applyFont="1"/>
    <xf numFmtId="0" fontId="9" fillId="2" borderId="0" xfId="0" applyFont="1" applyFill="1" applyBorder="1"/>
    <xf numFmtId="0" fontId="9" fillId="2" borderId="4" xfId="0" applyFont="1" applyFill="1" applyBorder="1"/>
    <xf numFmtId="0" fontId="9" fillId="2" borderId="1" xfId="0" applyFont="1" applyFill="1" applyBorder="1"/>
    <xf numFmtId="0" fontId="2" fillId="2" borderId="0" xfId="0" applyFont="1" applyFill="1" applyBorder="1" applyAlignment="1"/>
    <xf numFmtId="0" fontId="2" fillId="2" borderId="0" xfId="0" applyFont="1" applyFill="1" applyBorder="1"/>
    <xf numFmtId="1" fontId="9" fillId="2" borderId="0" xfId="0" applyNumberFormat="1" applyFont="1" applyFill="1" applyBorder="1"/>
    <xf numFmtId="9" fontId="9" fillId="2" borderId="0" xfId="5" applyNumberFormat="1" applyFont="1" applyFill="1" applyBorder="1" applyAlignment="1">
      <alignment horizontal="right"/>
    </xf>
    <xf numFmtId="2" fontId="9" fillId="2" borderId="0" xfId="0" applyNumberFormat="1" applyFont="1" applyFill="1" applyBorder="1"/>
    <xf numFmtId="0" fontId="9" fillId="2" borderId="3" xfId="0" applyFont="1" applyFill="1" applyBorder="1" applyAlignment="1"/>
    <xf numFmtId="0" fontId="9" fillId="2" borderId="3" xfId="0" applyFont="1" applyFill="1" applyBorder="1"/>
    <xf numFmtId="0" fontId="9" fillId="2" borderId="5" xfId="0" applyFont="1" applyFill="1" applyBorder="1"/>
    <xf numFmtId="0" fontId="6" fillId="0" borderId="0" xfId="0" applyFont="1" applyBorder="1"/>
    <xf numFmtId="0" fontId="6" fillId="4" borderId="6" xfId="0" applyFont="1" applyFill="1" applyBorder="1" applyAlignment="1">
      <alignment horizontal="center"/>
    </xf>
    <xf numFmtId="0" fontId="6" fillId="4" borderId="7" xfId="0" applyFont="1" applyFill="1" applyBorder="1" applyAlignment="1">
      <alignment horizontal="center"/>
    </xf>
    <xf numFmtId="0" fontId="6" fillId="4" borderId="0" xfId="0" applyFont="1" applyFill="1" applyBorder="1" applyAlignment="1">
      <alignment horizontal="center"/>
    </xf>
    <xf numFmtId="0" fontId="6" fillId="4" borderId="1" xfId="0" applyFont="1" applyFill="1" applyBorder="1" applyAlignment="1">
      <alignment horizontal="center"/>
    </xf>
    <xf numFmtId="0" fontId="6" fillId="0" borderId="0" xfId="0" applyFont="1" applyAlignment="1">
      <alignment horizontal="center"/>
    </xf>
    <xf numFmtId="0" fontId="3" fillId="4" borderId="0" xfId="0" applyFont="1" applyFill="1" applyBorder="1" applyAlignment="1" applyProtection="1">
      <alignment horizontal="center"/>
    </xf>
    <xf numFmtId="0" fontId="0" fillId="0" borderId="6" xfId="0" applyBorder="1"/>
    <xf numFmtId="0" fontId="0" fillId="0" borderId="7" xfId="0" applyBorder="1"/>
    <xf numFmtId="0" fontId="0" fillId="5" borderId="0" xfId="0" applyFill="1" applyBorder="1"/>
    <xf numFmtId="0" fontId="0" fillId="0" borderId="1" xfId="0" applyBorder="1"/>
    <xf numFmtId="0" fontId="0" fillId="0" borderId="0" xfId="0" applyBorder="1" applyProtection="1"/>
    <xf numFmtId="2" fontId="0" fillId="0" borderId="0" xfId="0" applyNumberFormat="1" applyBorder="1" applyProtection="1"/>
    <xf numFmtId="0" fontId="0" fillId="0" borderId="8" xfId="0" applyBorder="1"/>
    <xf numFmtId="0" fontId="0" fillId="0" borderId="3" xfId="0" applyBorder="1"/>
    <xf numFmtId="0" fontId="25" fillId="5" borderId="0" xfId="0" applyFont="1" applyFill="1" applyBorder="1"/>
    <xf numFmtId="0" fontId="3" fillId="0" borderId="0" xfId="0" applyFont="1" applyBorder="1"/>
    <xf numFmtId="164" fontId="3" fillId="4" borderId="0" xfId="0" quotePrefix="1" applyNumberFormat="1" applyFont="1" applyFill="1" applyBorder="1" applyAlignment="1">
      <alignment horizontal="center"/>
    </xf>
    <xf numFmtId="3" fontId="6" fillId="4" borderId="7" xfId="0" applyNumberFormat="1" applyFont="1" applyFill="1" applyBorder="1" applyAlignment="1">
      <alignment horizontal="center"/>
    </xf>
    <xf numFmtId="3" fontId="6" fillId="4" borderId="0" xfId="0" applyNumberFormat="1" applyFont="1" applyFill="1" applyBorder="1" applyAlignment="1">
      <alignment horizontal="center"/>
    </xf>
    <xf numFmtId="3" fontId="6" fillId="0" borderId="0" xfId="0" applyNumberFormat="1" applyFont="1"/>
    <xf numFmtId="0" fontId="20" fillId="3" borderId="0" xfId="0" applyFont="1" applyFill="1" applyBorder="1" applyAlignment="1" applyProtection="1">
      <alignment horizontal="centerContinuous"/>
      <protection locked="0"/>
    </xf>
    <xf numFmtId="0" fontId="21" fillId="3" borderId="0" xfId="0" applyFont="1" applyFill="1" applyBorder="1" applyAlignment="1" applyProtection="1">
      <alignment horizontal="centerContinuous"/>
      <protection locked="0"/>
    </xf>
    <xf numFmtId="0" fontId="2" fillId="3" borderId="0" xfId="0" applyFont="1" applyFill="1" applyBorder="1" applyAlignment="1" applyProtection="1">
      <alignment horizontal="centerContinuous"/>
      <protection locked="0"/>
    </xf>
    <xf numFmtId="0" fontId="0" fillId="0" borderId="0" xfId="0" applyFill="1" applyBorder="1"/>
    <xf numFmtId="0" fontId="0" fillId="0" borderId="0" xfId="0" applyFill="1"/>
    <xf numFmtId="0" fontId="9" fillId="0" borderId="0" xfId="0" applyFont="1" applyFill="1"/>
    <xf numFmtId="0" fontId="9" fillId="0" borderId="0" xfId="0" applyFont="1" applyFill="1" applyAlignment="1"/>
    <xf numFmtId="0" fontId="6" fillId="0" borderId="0" xfId="0" applyFont="1" applyFill="1"/>
    <xf numFmtId="0" fontId="2" fillId="2" borderId="1" xfId="0" applyFont="1" applyFill="1" applyBorder="1" applyAlignment="1">
      <alignment horizontal="center"/>
    </xf>
    <xf numFmtId="0" fontId="3" fillId="3" borderId="0" xfId="0" quotePrefix="1" applyFont="1" applyFill="1" applyBorder="1" applyAlignment="1" applyProtection="1">
      <alignment horizontal="centerContinuous"/>
      <protection locked="0"/>
    </xf>
    <xf numFmtId="1" fontId="0" fillId="0" borderId="0" xfId="0" applyNumberFormat="1"/>
    <xf numFmtId="0" fontId="2" fillId="3" borderId="1" xfId="0" applyFont="1" applyFill="1" applyBorder="1" applyAlignment="1" applyProtection="1">
      <alignment horizontal="left" vertical="center"/>
    </xf>
    <xf numFmtId="0" fontId="12" fillId="3" borderId="0" xfId="0" applyFont="1" applyFill="1" applyBorder="1" applyAlignment="1" applyProtection="1">
      <alignment vertical="center"/>
    </xf>
    <xf numFmtId="0" fontId="0" fillId="3" borderId="4" xfId="0" applyFill="1" applyBorder="1" applyAlignment="1" applyProtection="1">
      <alignment vertical="center"/>
    </xf>
    <xf numFmtId="0" fontId="0" fillId="0" borderId="0" xfId="0" applyAlignment="1">
      <alignment vertical="center"/>
    </xf>
    <xf numFmtId="0" fontId="12" fillId="3" borderId="0" xfId="0" applyFont="1" applyFill="1" applyBorder="1" applyAlignment="1" applyProtection="1"/>
    <xf numFmtId="0" fontId="0" fillId="3" borderId="4" xfId="0" applyFill="1" applyBorder="1" applyAlignment="1" applyProtection="1"/>
    <xf numFmtId="0" fontId="9" fillId="3" borderId="4" xfId="0" applyFont="1" applyFill="1" applyBorder="1" applyAlignment="1" applyProtection="1">
      <alignment horizontal="center"/>
    </xf>
    <xf numFmtId="0" fontId="9" fillId="3" borderId="1" xfId="0" applyFont="1" applyFill="1" applyBorder="1" applyAlignment="1" applyProtection="1">
      <alignment horizontal="left" vertical="top"/>
    </xf>
    <xf numFmtId="0" fontId="9" fillId="3" borderId="1" xfId="0" applyFont="1" applyFill="1" applyBorder="1" applyAlignment="1" applyProtection="1">
      <alignment horizontal="left" vertical="center"/>
    </xf>
    <xf numFmtId="0" fontId="2" fillId="3" borderId="0" xfId="0" applyFont="1" applyFill="1" applyBorder="1" applyAlignment="1" applyProtection="1">
      <alignment vertical="center"/>
    </xf>
    <xf numFmtId="0" fontId="15" fillId="3" borderId="0" xfId="0" applyFont="1" applyFill="1" applyBorder="1" applyAlignment="1"/>
    <xf numFmtId="0" fontId="12" fillId="3" borderId="0" xfId="0" applyFont="1" applyFill="1" applyBorder="1" applyAlignment="1"/>
    <xf numFmtId="0" fontId="12" fillId="3" borderId="0" xfId="0" applyFont="1" applyFill="1" applyBorder="1" applyAlignment="1" applyProtection="1">
      <protection locked="0"/>
    </xf>
    <xf numFmtId="0" fontId="15" fillId="3" borderId="0" xfId="0" applyFont="1" applyFill="1" applyBorder="1" applyAlignment="1" applyProtection="1">
      <protection locked="0"/>
    </xf>
    <xf numFmtId="0" fontId="0" fillId="3" borderId="1" xfId="0" applyFill="1" applyBorder="1" applyAlignment="1"/>
    <xf numFmtId="0" fontId="0" fillId="3" borderId="0" xfId="0" applyFill="1" applyBorder="1" applyAlignment="1" applyProtection="1">
      <protection locked="0"/>
    </xf>
    <xf numFmtId="0" fontId="3" fillId="3" borderId="1" xfId="0" applyFont="1" applyFill="1" applyBorder="1" applyAlignment="1"/>
    <xf numFmtId="0" fontId="6" fillId="3" borderId="1" xfId="0" applyFont="1" applyFill="1" applyBorder="1" applyAlignment="1"/>
    <xf numFmtId="0" fontId="0" fillId="3" borderId="8" xfId="0" applyFill="1" applyBorder="1" applyAlignment="1"/>
    <xf numFmtId="0" fontId="0" fillId="3" borderId="3" xfId="0" applyFill="1" applyBorder="1" applyAlignment="1"/>
    <xf numFmtId="2" fontId="2" fillId="3" borderId="0" xfId="0" applyNumberFormat="1" applyFont="1" applyFill="1" applyBorder="1" applyAlignment="1" applyProtection="1"/>
    <xf numFmtId="0" fontId="9" fillId="4" borderId="0" xfId="0" applyFont="1" applyFill="1" applyBorder="1" applyAlignment="1" applyProtection="1"/>
    <xf numFmtId="0" fontId="12" fillId="4" borderId="0" xfId="0" applyFont="1" applyFill="1" applyBorder="1" applyAlignment="1" applyProtection="1"/>
    <xf numFmtId="2" fontId="2" fillId="4" borderId="0" xfId="0" applyNumberFormat="1" applyFont="1" applyFill="1" applyBorder="1" applyAlignment="1" applyProtection="1"/>
    <xf numFmtId="0" fontId="0" fillId="4" borderId="4" xfId="0" applyFill="1" applyBorder="1" applyAlignment="1"/>
    <xf numFmtId="0" fontId="2" fillId="3" borderId="0" xfId="0" applyFont="1" applyFill="1" applyBorder="1" applyAlignment="1" applyProtection="1"/>
    <xf numFmtId="0" fontId="10" fillId="3" borderId="0" xfId="0" applyFont="1" applyFill="1" applyBorder="1" applyAlignment="1" applyProtection="1"/>
    <xf numFmtId="0" fontId="29" fillId="3" borderId="0" xfId="0" applyFont="1" applyFill="1" applyBorder="1" applyAlignment="1" applyProtection="1"/>
    <xf numFmtId="0" fontId="4" fillId="3" borderId="0" xfId="0" applyFont="1" applyFill="1" applyBorder="1" applyAlignment="1" applyProtection="1"/>
    <xf numFmtId="0" fontId="2" fillId="3" borderId="1" xfId="0" applyFont="1" applyFill="1" applyBorder="1" applyAlignment="1" applyProtection="1"/>
    <xf numFmtId="0" fontId="9" fillId="3" borderId="1" xfId="0" applyFont="1" applyFill="1" applyBorder="1" applyAlignment="1" applyProtection="1"/>
    <xf numFmtId="0" fontId="0" fillId="3" borderId="0" xfId="0" applyFill="1" applyBorder="1" applyAlignment="1" applyProtection="1"/>
    <xf numFmtId="0" fontId="0" fillId="0" borderId="0" xfId="0" applyBorder="1" applyAlignment="1"/>
    <xf numFmtId="0" fontId="12" fillId="0" borderId="0" xfId="0" applyFont="1" applyAlignment="1"/>
    <xf numFmtId="0" fontId="23" fillId="3" borderId="0" xfId="0" applyFont="1" applyFill="1" applyBorder="1" applyAlignment="1" applyProtection="1">
      <alignment horizontal="center" vertical="center"/>
    </xf>
    <xf numFmtId="0" fontId="9" fillId="3" borderId="0" xfId="0" applyFont="1" applyFill="1" applyBorder="1" applyAlignment="1" applyProtection="1">
      <alignment horizontal="left" vertical="center"/>
    </xf>
    <xf numFmtId="0" fontId="9" fillId="3" borderId="0" xfId="0" applyFont="1" applyFill="1" applyBorder="1" applyAlignment="1" applyProtection="1">
      <alignment horizontal="right" vertical="center"/>
    </xf>
    <xf numFmtId="0" fontId="2" fillId="3" borderId="9" xfId="0" applyFont="1" applyFill="1" applyBorder="1" applyAlignment="1" applyProtection="1">
      <alignment horizontal="left"/>
    </xf>
    <xf numFmtId="0" fontId="9" fillId="3" borderId="10" xfId="0" applyFont="1" applyFill="1" applyBorder="1" applyAlignment="1" applyProtection="1"/>
    <xf numFmtId="0" fontId="12" fillId="3" borderId="10" xfId="0" applyFont="1" applyFill="1" applyBorder="1" applyAlignment="1" applyProtection="1"/>
    <xf numFmtId="167" fontId="2" fillId="3" borderId="10" xfId="0" applyNumberFormat="1" applyFont="1" applyFill="1" applyBorder="1" applyAlignment="1" applyProtection="1">
      <alignment horizontal="center"/>
    </xf>
    <xf numFmtId="2" fontId="2" fillId="3" borderId="10" xfId="0" applyNumberFormat="1" applyFont="1" applyFill="1" applyBorder="1" applyAlignment="1" applyProtection="1"/>
    <xf numFmtId="0" fontId="0" fillId="3" borderId="11" xfId="0" applyFill="1" applyBorder="1" applyAlignment="1" applyProtection="1"/>
    <xf numFmtId="0" fontId="11" fillId="3" borderId="0" xfId="0" applyFont="1" applyFill="1" applyBorder="1" applyAlignment="1" applyProtection="1">
      <alignment vertical="center"/>
    </xf>
    <xf numFmtId="167" fontId="2" fillId="3" borderId="0" xfId="0" applyNumberFormat="1" applyFont="1" applyFill="1" applyBorder="1" applyAlignment="1" applyProtection="1">
      <alignment horizontal="center" vertical="center"/>
    </xf>
    <xf numFmtId="0" fontId="18" fillId="3" borderId="1" xfId="0" applyFont="1" applyFill="1" applyBorder="1" applyAlignment="1" applyProtection="1">
      <alignment horizontal="left" vertical="center"/>
    </xf>
    <xf numFmtId="164" fontId="2" fillId="3" borderId="0" xfId="0" quotePrefix="1" applyNumberFormat="1" applyFont="1" applyFill="1" applyBorder="1" applyAlignment="1" applyProtection="1">
      <alignment horizontal="center" vertical="center"/>
    </xf>
    <xf numFmtId="2" fontId="2" fillId="3" borderId="0" xfId="0" applyNumberFormat="1" applyFont="1" applyFill="1" applyBorder="1" applyAlignment="1" applyProtection="1">
      <alignment vertical="center"/>
    </xf>
    <xf numFmtId="0" fontId="12" fillId="3" borderId="1" xfId="0" applyFont="1" applyFill="1" applyBorder="1" applyAlignment="1" applyProtection="1">
      <alignment horizontal="left" vertical="center"/>
    </xf>
    <xf numFmtId="0" fontId="12" fillId="3" borderId="0" xfId="0" applyFont="1" applyFill="1" applyBorder="1" applyAlignment="1" applyProtection="1">
      <alignment horizontal="left" vertical="center"/>
    </xf>
    <xf numFmtId="0" fontId="2" fillId="3" borderId="0" xfId="0" applyFont="1" applyFill="1" applyBorder="1" applyAlignment="1" applyProtection="1">
      <alignment horizontal="left" vertical="center"/>
    </xf>
    <xf numFmtId="0" fontId="10" fillId="3" borderId="0" xfId="0" applyFont="1" applyFill="1" applyBorder="1" applyAlignment="1" applyProtection="1">
      <alignment horizontal="left" vertical="center"/>
    </xf>
    <xf numFmtId="0" fontId="13" fillId="3" borderId="1" xfId="0" applyFont="1" applyFill="1" applyBorder="1" applyAlignment="1" applyProtection="1">
      <alignment horizontal="left" vertical="center"/>
    </xf>
    <xf numFmtId="167" fontId="9" fillId="3" borderId="0" xfId="0" applyNumberFormat="1" applyFont="1" applyFill="1" applyBorder="1" applyAlignment="1" applyProtection="1">
      <alignment horizontal="left" vertical="center"/>
    </xf>
    <xf numFmtId="0" fontId="2" fillId="3" borderId="6" xfId="0" applyFont="1" applyFill="1" applyBorder="1" applyAlignment="1" applyProtection="1">
      <alignment horizontal="left"/>
    </xf>
    <xf numFmtId="0" fontId="2" fillId="3" borderId="7" xfId="0" applyFont="1" applyFill="1" applyBorder="1" applyAlignment="1">
      <alignment horizontal="left"/>
    </xf>
    <xf numFmtId="0" fontId="0" fillId="3" borderId="12" xfId="0" applyFill="1" applyBorder="1" applyAlignment="1" applyProtection="1"/>
    <xf numFmtId="0" fontId="12" fillId="3" borderId="0" xfId="0" applyFont="1" applyFill="1" applyBorder="1" applyAlignment="1">
      <alignment vertical="center"/>
    </xf>
    <xf numFmtId="0" fontId="22" fillId="3" borderId="0" xfId="0" applyFont="1" applyFill="1" applyBorder="1" applyAlignment="1">
      <alignment horizontal="left" vertical="center"/>
    </xf>
    <xf numFmtId="1" fontId="0" fillId="0" borderId="0" xfId="0" applyNumberFormat="1" applyAlignment="1">
      <alignment horizontal="center"/>
    </xf>
    <xf numFmtId="0" fontId="3" fillId="4" borderId="0" xfId="0" applyFont="1" applyFill="1" applyBorder="1" applyAlignment="1">
      <alignment horizontal="right"/>
    </xf>
    <xf numFmtId="0" fontId="3" fillId="4" borderId="0" xfId="0" applyFont="1" applyFill="1" applyBorder="1" applyAlignment="1" applyProtection="1">
      <alignment horizontal="right"/>
    </xf>
    <xf numFmtId="0" fontId="0" fillId="0" borderId="13" xfId="0" applyBorder="1"/>
    <xf numFmtId="0" fontId="0" fillId="0" borderId="14" xfId="0" applyBorder="1"/>
    <xf numFmtId="2" fontId="0" fillId="0" borderId="14" xfId="0" applyNumberFormat="1" applyBorder="1" applyProtection="1"/>
    <xf numFmtId="0" fontId="0" fillId="0" borderId="15" xfId="0" applyBorder="1"/>
    <xf numFmtId="3" fontId="3" fillId="4" borderId="0" xfId="0" applyNumberFormat="1" applyFont="1" applyFill="1" applyBorder="1" applyAlignment="1" applyProtection="1">
      <alignment horizontal="center"/>
    </xf>
    <xf numFmtId="3" fontId="3" fillId="4" borderId="0" xfId="0" applyNumberFormat="1" applyFont="1" applyFill="1" applyBorder="1" applyAlignment="1">
      <alignment horizontal="center"/>
    </xf>
    <xf numFmtId="49" fontId="26" fillId="3" borderId="0" xfId="0" applyNumberFormat="1" applyFont="1" applyFill="1" applyBorder="1" applyAlignment="1" applyProtection="1">
      <alignment horizontal="center" vertical="center"/>
      <protection locked="0"/>
    </xf>
    <xf numFmtId="0" fontId="3" fillId="4" borderId="0" xfId="0" quotePrefix="1" applyFont="1" applyFill="1" applyBorder="1" applyAlignment="1" applyProtection="1">
      <alignment horizontal="center"/>
    </xf>
    <xf numFmtId="3" fontId="9" fillId="2" borderId="0" xfId="0" applyNumberFormat="1" applyFont="1" applyFill="1" applyBorder="1" applyAlignment="1"/>
    <xf numFmtId="3" fontId="9" fillId="2" borderId="0" xfId="0" applyNumberFormat="1" applyFont="1" applyFill="1" applyBorder="1"/>
    <xf numFmtId="3" fontId="9" fillId="2" borderId="0" xfId="0" applyNumberFormat="1" applyFont="1" applyFill="1" applyBorder="1" applyAlignment="1">
      <alignment horizontal="right"/>
    </xf>
    <xf numFmtId="0" fontId="2" fillId="2" borderId="4" xfId="0" applyFont="1" applyFill="1" applyBorder="1" applyAlignment="1">
      <alignment horizontal="center"/>
    </xf>
    <xf numFmtId="0" fontId="0" fillId="4" borderId="6" xfId="0" applyFill="1" applyBorder="1" applyAlignment="1">
      <alignment horizontal="center"/>
    </xf>
    <xf numFmtId="0" fontId="3" fillId="4" borderId="7" xfId="0" applyFont="1" applyFill="1" applyBorder="1" applyAlignment="1"/>
    <xf numFmtId="0" fontId="0" fillId="4" borderId="7" xfId="0" applyFill="1" applyBorder="1" applyAlignment="1"/>
    <xf numFmtId="0" fontId="0" fillId="4" borderId="7" xfId="0" applyFill="1" applyBorder="1" applyAlignment="1" applyProtection="1">
      <protection locked="0"/>
    </xf>
    <xf numFmtId="0" fontId="12" fillId="4" borderId="6" xfId="0" applyFont="1" applyFill="1" applyBorder="1"/>
    <xf numFmtId="0" fontId="12" fillId="4" borderId="7" xfId="0" applyFont="1" applyFill="1" applyBorder="1"/>
    <xf numFmtId="0" fontId="12" fillId="4" borderId="12" xfId="0" applyFont="1" applyFill="1" applyBorder="1"/>
    <xf numFmtId="0" fontId="34" fillId="4" borderId="1" xfId="0" applyFont="1" applyFill="1" applyBorder="1" applyAlignment="1">
      <alignment horizontal="centerContinuous"/>
    </xf>
    <xf numFmtId="0" fontId="12" fillId="4" borderId="0" xfId="0" applyFont="1" applyFill="1" applyBorder="1" applyAlignment="1">
      <alignment horizontal="centerContinuous"/>
    </xf>
    <xf numFmtId="0" fontId="12" fillId="4" borderId="0" xfId="0" applyFont="1" applyFill="1" applyBorder="1"/>
    <xf numFmtId="0" fontId="12" fillId="4" borderId="4" xfId="0" applyFont="1" applyFill="1" applyBorder="1"/>
    <xf numFmtId="0" fontId="35" fillId="4" borderId="0" xfId="0" applyFont="1" applyFill="1" applyBorder="1" applyAlignment="1">
      <alignment horizontal="center"/>
    </xf>
    <xf numFmtId="0" fontId="12" fillId="4" borderId="1" xfId="0" applyFont="1" applyFill="1" applyBorder="1"/>
    <xf numFmtId="0" fontId="12" fillId="4" borderId="8" xfId="0" applyFont="1" applyFill="1" applyBorder="1"/>
    <xf numFmtId="0" fontId="12" fillId="4" borderId="3" xfId="0" applyFont="1" applyFill="1" applyBorder="1"/>
    <xf numFmtId="0" fontId="0" fillId="6" borderId="6" xfId="0" applyFill="1" applyBorder="1"/>
    <xf numFmtId="0" fontId="0" fillId="6" borderId="7" xfId="0" applyFill="1" applyBorder="1"/>
    <xf numFmtId="0" fontId="36" fillId="6" borderId="12" xfId="0" applyFont="1" applyFill="1" applyBorder="1"/>
    <xf numFmtId="0" fontId="2" fillId="6" borderId="1" xfId="0" applyFont="1" applyFill="1" applyBorder="1" applyAlignment="1">
      <alignment horizontal="center" wrapText="1"/>
    </xf>
    <xf numFmtId="0" fontId="36" fillId="6" borderId="4" xfId="0" applyFont="1" applyFill="1" applyBorder="1" applyAlignment="1">
      <alignment horizontal="center" wrapText="1"/>
    </xf>
    <xf numFmtId="0" fontId="2" fillId="6" borderId="1" xfId="0" applyFont="1" applyFill="1" applyBorder="1" applyAlignment="1">
      <alignment horizontal="center" vertical="top"/>
    </xf>
    <xf numFmtId="0" fontId="36" fillId="6" borderId="4" xfId="0" applyFont="1" applyFill="1" applyBorder="1" applyAlignment="1">
      <alignment horizontal="center" vertical="top"/>
    </xf>
    <xf numFmtId="0" fontId="2" fillId="6" borderId="8" xfId="0" applyFont="1" applyFill="1" applyBorder="1" applyAlignment="1">
      <alignment horizontal="center"/>
    </xf>
    <xf numFmtId="0" fontId="2" fillId="6" borderId="3" xfId="0" applyFont="1" applyFill="1" applyBorder="1" applyAlignment="1">
      <alignment horizontal="center"/>
    </xf>
    <xf numFmtId="0" fontId="2" fillId="0" borderId="0" xfId="0" applyFont="1" applyFill="1" applyBorder="1" applyAlignment="1">
      <alignment horizontal="center"/>
    </xf>
    <xf numFmtId="0" fontId="0" fillId="0" borderId="4" xfId="0" applyFill="1" applyBorder="1" applyAlignment="1"/>
    <xf numFmtId="0" fontId="37" fillId="2" borderId="0" xfId="0" applyFont="1" applyFill="1" applyBorder="1"/>
    <xf numFmtId="0" fontId="4" fillId="2" borderId="0" xfId="0" applyFont="1" applyFill="1" applyBorder="1"/>
    <xf numFmtId="0" fontId="0" fillId="0" borderId="16" xfId="0" applyBorder="1"/>
    <xf numFmtId="0" fontId="38" fillId="2" borderId="0" xfId="0" applyFont="1" applyFill="1" applyBorder="1" applyAlignment="1">
      <alignment horizontal="left" vertical="top" wrapText="1" indent="1"/>
    </xf>
    <xf numFmtId="0" fontId="38" fillId="2" borderId="0" xfId="0" applyFont="1" applyFill="1" applyBorder="1" applyAlignment="1">
      <alignment wrapText="1"/>
    </xf>
    <xf numFmtId="0" fontId="38" fillId="2" borderId="0" xfId="0" applyFont="1" applyFill="1" applyBorder="1"/>
    <xf numFmtId="0" fontId="0" fillId="0" borderId="17" xfId="0" applyBorder="1"/>
    <xf numFmtId="0" fontId="4" fillId="2" borderId="0" xfId="0" applyFont="1" applyFill="1" applyBorder="1" applyAlignment="1">
      <alignment horizontal="left"/>
    </xf>
    <xf numFmtId="0" fontId="37" fillId="2" borderId="1" xfId="0" applyFont="1" applyFill="1" applyBorder="1"/>
    <xf numFmtId="0" fontId="4" fillId="2" borderId="0" xfId="0" applyFont="1" applyFill="1" applyBorder="1" applyAlignment="1">
      <alignment vertical="top"/>
    </xf>
    <xf numFmtId="0" fontId="0" fillId="2" borderId="0" xfId="0" applyFill="1" applyBorder="1" applyAlignment="1">
      <alignment vertical="top"/>
    </xf>
    <xf numFmtId="0" fontId="0" fillId="2" borderId="4" xfId="0" applyFill="1" applyBorder="1"/>
    <xf numFmtId="0" fontId="37" fillId="2" borderId="8" xfId="0" applyFont="1" applyFill="1" applyBorder="1"/>
    <xf numFmtId="0" fontId="0" fillId="2" borderId="3" xfId="0" applyFill="1" applyBorder="1"/>
    <xf numFmtId="0" fontId="0" fillId="2" borderId="5" xfId="0" applyFill="1" applyBorder="1"/>
    <xf numFmtId="0" fontId="0" fillId="2" borderId="0" xfId="0" applyFill="1" applyBorder="1" applyAlignment="1">
      <alignment vertical="top" wrapText="1"/>
    </xf>
    <xf numFmtId="0" fontId="41" fillId="4" borderId="7" xfId="0" applyFont="1" applyFill="1" applyBorder="1" applyAlignment="1" applyProtection="1">
      <protection locked="0"/>
    </xf>
    <xf numFmtId="0" fontId="2" fillId="3" borderId="1" xfId="0" applyFont="1" applyFill="1" applyBorder="1" applyAlignment="1" applyProtection="1">
      <alignment horizontal="left" vertical="center" wrapText="1"/>
    </xf>
    <xf numFmtId="0" fontId="2" fillId="3" borderId="0" xfId="0" applyFont="1" applyFill="1" applyBorder="1" applyAlignment="1" applyProtection="1">
      <alignment horizontal="left" vertical="center" wrapText="1"/>
    </xf>
    <xf numFmtId="0" fontId="2" fillId="3" borderId="4" xfId="0" applyFont="1" applyFill="1" applyBorder="1" applyAlignment="1" applyProtection="1">
      <alignment horizontal="left" vertical="center" wrapText="1"/>
    </xf>
    <xf numFmtId="0" fontId="30" fillId="3" borderId="6" xfId="0" applyFont="1" applyFill="1" applyBorder="1" applyAlignment="1" applyProtection="1">
      <alignment horizontal="center" vertical="center"/>
    </xf>
    <xf numFmtId="0" fontId="30" fillId="3" borderId="7" xfId="0" applyFont="1" applyFill="1" applyBorder="1" applyAlignment="1" applyProtection="1">
      <alignment horizontal="center" vertical="center"/>
    </xf>
    <xf numFmtId="0" fontId="30" fillId="3" borderId="12" xfId="0" applyFont="1" applyFill="1" applyBorder="1" applyAlignment="1" applyProtection="1">
      <alignment horizontal="center" vertical="center"/>
    </xf>
    <xf numFmtId="0" fontId="30" fillId="3" borderId="1" xfId="0" applyFont="1" applyFill="1" applyBorder="1" applyAlignment="1" applyProtection="1">
      <alignment horizontal="center" vertical="center"/>
    </xf>
    <xf numFmtId="0" fontId="30" fillId="3" borderId="0" xfId="0" applyFont="1" applyFill="1" applyBorder="1" applyAlignment="1" applyProtection="1">
      <alignment horizontal="center" vertical="center"/>
    </xf>
    <xf numFmtId="0" fontId="30" fillId="3" borderId="4" xfId="0" applyFont="1" applyFill="1" applyBorder="1" applyAlignment="1" applyProtection="1">
      <alignment horizontal="center" vertical="center"/>
    </xf>
    <xf numFmtId="0" fontId="25" fillId="4" borderId="5" xfId="0" applyFont="1" applyFill="1" applyBorder="1" applyAlignment="1">
      <alignment horizontal="right" indent="1"/>
    </xf>
    <xf numFmtId="0" fontId="19" fillId="4" borderId="1" xfId="0" applyFont="1" applyFill="1" applyBorder="1" applyAlignment="1">
      <alignment horizontal="center" vertical="center"/>
    </xf>
    <xf numFmtId="0" fontId="42" fillId="4" borderId="0" xfId="0" applyFont="1" applyFill="1" applyBorder="1" applyAlignment="1">
      <alignment horizontal="center" vertical="center"/>
    </xf>
    <xf numFmtId="0" fontId="19" fillId="4" borderId="4"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28" fillId="4" borderId="8" xfId="0" applyFont="1" applyFill="1" applyBorder="1" applyAlignment="1">
      <alignment horizontal="center" vertical="center"/>
    </xf>
    <xf numFmtId="0" fontId="10" fillId="3" borderId="0" xfId="0" applyFont="1" applyFill="1" applyBorder="1" applyAlignment="1" applyProtection="1">
      <alignment horizontal="left" vertical="center" indent="1"/>
    </xf>
    <xf numFmtId="0" fontId="12" fillId="3" borderId="0" xfId="0" applyFont="1" applyFill="1" applyBorder="1" applyAlignment="1" applyProtection="1">
      <alignment horizontal="left" vertical="center" indent="1"/>
    </xf>
    <xf numFmtId="167" fontId="2" fillId="3" borderId="0" xfId="0" applyNumberFormat="1" applyFont="1" applyFill="1" applyBorder="1" applyAlignment="1" applyProtection="1">
      <alignment horizontal="left" vertical="center"/>
    </xf>
    <xf numFmtId="0" fontId="2" fillId="4" borderId="0" xfId="0" applyFont="1" applyFill="1" applyBorder="1" applyAlignment="1" applyProtection="1"/>
    <xf numFmtId="0" fontId="9" fillId="3" borderId="0" xfId="0" applyFont="1" applyFill="1" applyBorder="1" applyAlignment="1" applyProtection="1">
      <alignment horizontal="left" indent="1"/>
    </xf>
    <xf numFmtId="0" fontId="12" fillId="3" borderId="0" xfId="0" applyFont="1" applyFill="1" applyBorder="1" applyAlignment="1" applyProtection="1">
      <alignment horizontal="left" indent="1"/>
    </xf>
    <xf numFmtId="0" fontId="12" fillId="3" borderId="0" xfId="0" applyFont="1" applyFill="1" applyBorder="1" applyAlignment="1">
      <alignment horizontal="left" indent="1"/>
    </xf>
    <xf numFmtId="0" fontId="9" fillId="3" borderId="0" xfId="0" applyFont="1" applyFill="1" applyBorder="1" applyAlignment="1" applyProtection="1">
      <alignment horizontal="left" vertical="top" indent="1"/>
    </xf>
    <xf numFmtId="0" fontId="9" fillId="3" borderId="1" xfId="0" applyFont="1" applyFill="1" applyBorder="1" applyAlignment="1" applyProtection="1">
      <alignment vertical="center"/>
    </xf>
    <xf numFmtId="0" fontId="12" fillId="3" borderId="0" xfId="0" applyFont="1" applyFill="1" applyBorder="1" applyAlignment="1">
      <alignment vertical="center" wrapText="1"/>
    </xf>
    <xf numFmtId="0" fontId="9" fillId="3" borderId="7" xfId="0" applyFont="1" applyFill="1" applyBorder="1" applyAlignment="1" applyProtection="1"/>
    <xf numFmtId="0" fontId="12" fillId="3" borderId="7" xfId="0" applyFont="1" applyFill="1" applyBorder="1" applyAlignment="1" applyProtection="1"/>
    <xf numFmtId="0" fontId="2" fillId="3" borderId="7" xfId="0" applyFont="1" applyFill="1" applyBorder="1" applyAlignment="1" applyProtection="1">
      <alignment horizontal="left"/>
    </xf>
    <xf numFmtId="0" fontId="18" fillId="3" borderId="0" xfId="0" applyFont="1" applyFill="1" applyBorder="1" applyAlignment="1" applyProtection="1">
      <alignment horizontal="left" vertical="center"/>
    </xf>
    <xf numFmtId="0" fontId="13" fillId="3" borderId="0" xfId="0" applyFont="1" applyFill="1" applyBorder="1" applyAlignment="1" applyProtection="1">
      <alignment horizontal="left" vertical="center"/>
    </xf>
    <xf numFmtId="0" fontId="9" fillId="3" borderId="0" xfId="0" applyFont="1" applyFill="1" applyBorder="1" applyAlignment="1" applyProtection="1">
      <alignment horizontal="left" vertical="top"/>
    </xf>
    <xf numFmtId="0" fontId="2" fillId="2" borderId="0" xfId="0" applyFont="1" applyFill="1" applyBorder="1" applyAlignment="1">
      <alignment horizontal="left" wrapText="1"/>
    </xf>
    <xf numFmtId="0" fontId="2" fillId="2" borderId="4" xfId="0" applyFont="1" applyFill="1" applyBorder="1" applyAlignment="1">
      <alignment horizontal="left" wrapText="1"/>
    </xf>
    <xf numFmtId="0" fontId="0" fillId="0" borderId="0" xfId="0" applyFill="1" applyBorder="1" applyAlignment="1"/>
    <xf numFmtId="0" fontId="0" fillId="0" borderId="0" xfId="0" applyFill="1" applyBorder="1" applyAlignment="1">
      <alignment horizontal="center"/>
    </xf>
    <xf numFmtId="0" fontId="2" fillId="0" borderId="0" xfId="0" applyFont="1" applyFill="1" applyBorder="1" applyAlignment="1">
      <alignment horizontal="right"/>
    </xf>
    <xf numFmtId="0" fontId="45" fillId="2" borderId="0" xfId="0" applyFont="1" applyFill="1" applyBorder="1" applyAlignment="1">
      <alignment horizontal="right" vertical="center" indent="1"/>
    </xf>
    <xf numFmtId="0" fontId="14" fillId="2" borderId="0" xfId="0" applyFont="1" applyFill="1" applyBorder="1"/>
    <xf numFmtId="9" fontId="2" fillId="2" borderId="0" xfId="5" applyFont="1" applyFill="1" applyBorder="1" applyAlignment="1" applyProtection="1"/>
    <xf numFmtId="0" fontId="0" fillId="2" borderId="0" xfId="0" applyFill="1" applyBorder="1" applyAlignment="1">
      <alignment wrapText="1"/>
    </xf>
    <xf numFmtId="0" fontId="6" fillId="2" borderId="0" xfId="0" applyFont="1" applyFill="1"/>
    <xf numFmtId="0" fontId="9" fillId="0" borderId="0" xfId="0" applyFont="1" applyFill="1" applyBorder="1" applyAlignment="1" applyProtection="1">
      <alignment vertical="top"/>
      <protection locked="0"/>
    </xf>
    <xf numFmtId="0" fontId="2" fillId="2" borderId="0" xfId="0" applyFont="1" applyFill="1" applyBorder="1" applyAlignment="1">
      <alignment horizontal="left"/>
    </xf>
    <xf numFmtId="0" fontId="9" fillId="2" borderId="0" xfId="0" applyFont="1" applyFill="1" applyBorder="1" applyAlignment="1">
      <alignment horizontal="right" indent="1"/>
    </xf>
    <xf numFmtId="0" fontId="0" fillId="2" borderId="0" xfId="0" applyFill="1" applyBorder="1" applyAlignment="1"/>
    <xf numFmtId="0" fontId="45" fillId="2" borderId="3" xfId="0" applyFont="1" applyFill="1" applyBorder="1" applyAlignment="1">
      <alignment horizontal="right" vertical="center" indent="1"/>
    </xf>
    <xf numFmtId="9" fontId="2" fillId="2" borderId="3" xfId="5" applyFont="1" applyFill="1" applyBorder="1" applyAlignment="1" applyProtection="1"/>
    <xf numFmtId="0" fontId="9" fillId="4" borderId="18" xfId="0" applyFont="1" applyFill="1" applyBorder="1" applyAlignment="1">
      <alignment horizontal="left" vertical="center"/>
    </xf>
    <xf numFmtId="0" fontId="18" fillId="4" borderId="19" xfId="0" applyFont="1" applyFill="1" applyBorder="1" applyAlignment="1">
      <alignment horizontal="left" vertical="center" indent="1"/>
    </xf>
    <xf numFmtId="9" fontId="2" fillId="4" borderId="19" xfId="5" applyFont="1" applyFill="1" applyBorder="1" applyAlignment="1" applyProtection="1"/>
    <xf numFmtId="0" fontId="9" fillId="4" borderId="19" xfId="0" applyFont="1" applyFill="1" applyBorder="1"/>
    <xf numFmtId="0" fontId="0" fillId="4" borderId="19" xfId="0" applyFill="1" applyBorder="1" applyAlignment="1">
      <alignment wrapText="1"/>
    </xf>
    <xf numFmtId="0" fontId="6" fillId="4" borderId="20" xfId="0" applyFont="1" applyFill="1" applyBorder="1" applyAlignment="1">
      <alignment horizontal="right" vertical="center" indent="1"/>
    </xf>
    <xf numFmtId="15" fontId="3" fillId="4" borderId="0" xfId="0" applyNumberFormat="1" applyFont="1" applyFill="1" applyBorder="1" applyAlignment="1">
      <alignment horizontal="center"/>
    </xf>
    <xf numFmtId="15" fontId="3" fillId="4" borderId="0" xfId="0" quotePrefix="1" applyNumberFormat="1" applyFont="1" applyFill="1" applyBorder="1" applyAlignment="1">
      <alignment horizontal="right"/>
    </xf>
    <xf numFmtId="0" fontId="6" fillId="4" borderId="18" xfId="0" applyFont="1" applyFill="1" applyBorder="1" applyAlignment="1">
      <alignment vertical="top"/>
    </xf>
    <xf numFmtId="0" fontId="6" fillId="4" borderId="19" xfId="0" applyFont="1" applyFill="1" applyBorder="1" applyAlignment="1">
      <alignment vertical="top"/>
    </xf>
    <xf numFmtId="164" fontId="3" fillId="4" borderId="19" xfId="0" quotePrefix="1" applyNumberFormat="1" applyFont="1" applyFill="1" applyBorder="1" applyAlignment="1">
      <alignment vertical="top"/>
    </xf>
    <xf numFmtId="164" fontId="3" fillId="4" borderId="19" xfId="0" applyNumberFormat="1" applyFont="1" applyFill="1" applyBorder="1" applyAlignment="1">
      <alignment horizontal="center" vertical="top"/>
    </xf>
    <xf numFmtId="0" fontId="3" fillId="4" borderId="19" xfId="0" applyFont="1" applyFill="1" applyBorder="1" applyAlignment="1">
      <alignment horizontal="center" vertical="top"/>
    </xf>
    <xf numFmtId="15" fontId="3" fillId="4" borderId="19" xfId="0" applyNumberFormat="1" applyFont="1" applyFill="1" applyBorder="1" applyAlignment="1">
      <alignment horizontal="center" vertical="top"/>
    </xf>
    <xf numFmtId="3" fontId="3" fillId="4" borderId="19" xfId="0" applyNumberFormat="1" applyFont="1" applyFill="1" applyBorder="1" applyAlignment="1">
      <alignment horizontal="center" vertical="top"/>
    </xf>
    <xf numFmtId="3" fontId="9" fillId="2" borderId="0" xfId="0" applyNumberFormat="1" applyFont="1" applyFill="1" applyBorder="1" applyAlignment="1">
      <alignment horizontal="right" indent="1"/>
    </xf>
    <xf numFmtId="9" fontId="9" fillId="2" borderId="0" xfId="5" applyNumberFormat="1" applyFont="1" applyFill="1" applyBorder="1" applyAlignment="1">
      <alignment horizontal="right" indent="1"/>
    </xf>
    <xf numFmtId="3" fontId="9" fillId="2" borderId="0" xfId="5" applyNumberFormat="1" applyFont="1" applyFill="1" applyBorder="1" applyAlignment="1">
      <alignment horizontal="right" indent="1"/>
    </xf>
    <xf numFmtId="168" fontId="9" fillId="2" borderId="0" xfId="0" applyNumberFormat="1" applyFont="1" applyFill="1" applyBorder="1" applyAlignment="1">
      <alignment horizontal="right" indent="1"/>
    </xf>
    <xf numFmtId="9" fontId="2" fillId="2" borderId="0" xfId="5" applyFont="1" applyFill="1" applyBorder="1" applyAlignment="1" applyProtection="1">
      <alignment horizontal="right" indent="1"/>
    </xf>
    <xf numFmtId="0" fontId="6" fillId="0" borderId="0" xfId="0" applyFont="1" applyFill="1" applyBorder="1"/>
    <xf numFmtId="0" fontId="6" fillId="0" borderId="0" xfId="0" applyFont="1" applyFill="1" applyBorder="1" applyAlignment="1">
      <alignment horizontal="center"/>
    </xf>
    <xf numFmtId="170" fontId="0" fillId="0" borderId="0" xfId="0" applyNumberFormat="1" applyFill="1"/>
    <xf numFmtId="169" fontId="0" fillId="0" borderId="0" xfId="0" applyNumberFormat="1" applyFill="1"/>
    <xf numFmtId="1" fontId="0" fillId="0" borderId="0" xfId="0" applyNumberFormat="1" applyFill="1"/>
    <xf numFmtId="0" fontId="15" fillId="4" borderId="5" xfId="0" applyFont="1" applyFill="1" applyBorder="1" applyAlignment="1">
      <alignment horizontal="right" vertical="center"/>
    </xf>
    <xf numFmtId="0" fontId="2" fillId="3" borderId="7" xfId="0" applyFont="1" applyFill="1" applyBorder="1" applyAlignment="1" applyProtection="1">
      <alignment vertical="center"/>
    </xf>
    <xf numFmtId="0" fontId="3" fillId="0" borderId="0" xfId="0" applyFont="1" applyFill="1" applyBorder="1" applyProtection="1"/>
    <xf numFmtId="0" fontId="7" fillId="0" borderId="0" xfId="0" applyFont="1" applyFill="1" applyBorder="1" applyAlignment="1" applyProtection="1">
      <alignment horizontal="centerContinuous"/>
    </xf>
    <xf numFmtId="0" fontId="0" fillId="0" borderId="0" xfId="0" applyFill="1" applyBorder="1" applyProtection="1"/>
    <xf numFmtId="0" fontId="30" fillId="0" borderId="0" xfId="0" applyFont="1" applyFill="1" applyBorder="1" applyAlignment="1" applyProtection="1">
      <alignment horizontal="center" vertical="center"/>
    </xf>
    <xf numFmtId="0" fontId="4" fillId="0" borderId="0" xfId="0" applyFont="1" applyFill="1" applyBorder="1" applyProtection="1"/>
    <xf numFmtId="0" fontId="8" fillId="0" borderId="0" xfId="0" applyFont="1" applyFill="1" applyBorder="1"/>
    <xf numFmtId="0" fontId="0" fillId="0" borderId="0" xfId="0" applyFill="1" applyBorder="1" applyAlignment="1">
      <alignment vertical="center"/>
    </xf>
    <xf numFmtId="0" fontId="0" fillId="0" borderId="1" xfId="0" applyFill="1" applyBorder="1" applyAlignment="1">
      <alignment horizontal="center" vertical="center"/>
    </xf>
    <xf numFmtId="0" fontId="43" fillId="0" borderId="1" xfId="0" applyFont="1" applyFill="1" applyBorder="1" applyAlignment="1">
      <alignment horizontal="center" vertical="center"/>
    </xf>
    <xf numFmtId="0" fontId="2" fillId="4" borderId="6" xfId="0" applyFont="1" applyFill="1" applyBorder="1" applyAlignment="1" applyProtection="1">
      <alignment horizontal="center" vertical="center"/>
    </xf>
    <xf numFmtId="0" fontId="2" fillId="4" borderId="7" xfId="0" applyFont="1" applyFill="1" applyBorder="1" applyAlignment="1" applyProtection="1">
      <alignment horizontal="center" vertical="center"/>
    </xf>
    <xf numFmtId="0" fontId="2" fillId="4" borderId="12" xfId="0" applyFont="1" applyFill="1" applyBorder="1" applyAlignment="1" applyProtection="1">
      <alignment horizontal="center" vertical="center"/>
    </xf>
    <xf numFmtId="0" fontId="3" fillId="3" borderId="1" xfId="0" applyFont="1" applyFill="1" applyBorder="1" applyAlignment="1" applyProtection="1">
      <alignment horizontal="centerContinuous" vertical="center"/>
    </xf>
    <xf numFmtId="0" fontId="7" fillId="3" borderId="0" xfId="0" applyFont="1" applyFill="1" applyBorder="1" applyAlignment="1" applyProtection="1">
      <alignment horizontal="centerContinuous"/>
    </xf>
    <xf numFmtId="2" fontId="17" fillId="3" borderId="0" xfId="0" applyNumberFormat="1" applyFont="1" applyFill="1" applyBorder="1" applyAlignment="1" applyProtection="1">
      <alignment horizontal="centerContinuous"/>
    </xf>
    <xf numFmtId="0" fontId="49" fillId="4" borderId="5" xfId="0" applyFont="1" applyFill="1" applyBorder="1" applyAlignment="1">
      <alignment horizontal="right" vertical="center"/>
    </xf>
    <xf numFmtId="0" fontId="20" fillId="3" borderId="0" xfId="0" applyFont="1" applyFill="1" applyBorder="1" applyAlignment="1">
      <alignment horizontal="centerContinuous"/>
    </xf>
    <xf numFmtId="0" fontId="12" fillId="3" borderId="0" xfId="0" applyFont="1" applyFill="1" applyBorder="1" applyAlignment="1">
      <alignment horizontal="left"/>
    </xf>
    <xf numFmtId="0" fontId="6" fillId="3" borderId="0" xfId="0" applyFont="1" applyFill="1" applyBorder="1" applyAlignment="1"/>
    <xf numFmtId="0" fontId="22" fillId="3" borderId="0" xfId="0" applyFont="1" applyFill="1" applyBorder="1" applyAlignment="1" applyProtection="1">
      <alignment horizontal="center" vertical="center"/>
    </xf>
    <xf numFmtId="0" fontId="0" fillId="3" borderId="0" xfId="0" applyFill="1" applyBorder="1"/>
    <xf numFmtId="0" fontId="50" fillId="3" borderId="0" xfId="0" applyFont="1" applyFill="1" applyBorder="1" applyAlignment="1" applyProtection="1">
      <alignment horizontal="center" vertical="center"/>
    </xf>
    <xf numFmtId="0" fontId="15" fillId="3" borderId="12" xfId="0" applyFont="1" applyFill="1" applyBorder="1" applyAlignment="1"/>
    <xf numFmtId="0" fontId="12" fillId="3" borderId="4" xfId="0" applyFont="1" applyFill="1" applyBorder="1" applyAlignment="1"/>
    <xf numFmtId="0" fontId="12" fillId="3" borderId="4" xfId="0" applyFont="1" applyFill="1" applyBorder="1" applyAlignment="1" applyProtection="1">
      <protection locked="0"/>
    </xf>
    <xf numFmtId="0" fontId="15" fillId="3" borderId="4" xfId="0" applyFont="1" applyFill="1" applyBorder="1" applyAlignment="1" applyProtection="1">
      <protection locked="0"/>
    </xf>
    <xf numFmtId="0" fontId="3" fillId="3" borderId="4" xfId="0" applyFont="1" applyFill="1" applyBorder="1" applyAlignment="1" applyProtection="1">
      <alignment horizontal="centerContinuous"/>
      <protection locked="0"/>
    </xf>
    <xf numFmtId="0" fontId="3" fillId="3" borderId="5" xfId="0" applyFont="1" applyFill="1" applyBorder="1" applyAlignment="1" applyProtection="1">
      <alignment horizontal="centerContinuous"/>
      <protection locked="0"/>
    </xf>
    <xf numFmtId="0" fontId="20" fillId="3" borderId="6" xfId="0" applyFont="1" applyFill="1" applyBorder="1" applyAlignment="1">
      <alignment horizontal="centerContinuous"/>
    </xf>
    <xf numFmtId="0" fontId="18" fillId="4" borderId="0" xfId="0" applyFont="1" applyFill="1" applyBorder="1" applyAlignment="1">
      <alignment horizontal="center" vertical="center"/>
    </xf>
    <xf numFmtId="0" fontId="9" fillId="2" borderId="0" xfId="0" applyFont="1" applyFill="1" applyBorder="1" applyAlignment="1">
      <alignment horizontal="left"/>
    </xf>
    <xf numFmtId="0" fontId="5" fillId="0" borderId="0" xfId="0" applyFont="1" applyBorder="1" applyAlignment="1" applyProtection="1">
      <alignment vertical="center"/>
    </xf>
    <xf numFmtId="0" fontId="9" fillId="0" borderId="0" xfId="0" applyFont="1" applyBorder="1" applyAlignment="1" applyProtection="1">
      <alignment vertical="center"/>
    </xf>
    <xf numFmtId="0" fontId="53" fillId="0" borderId="0" xfId="0" applyFont="1" applyFill="1" applyAlignment="1" applyProtection="1">
      <alignment vertical="center"/>
    </xf>
    <xf numFmtId="0" fontId="53" fillId="0" borderId="0" xfId="0" applyFont="1"/>
    <xf numFmtId="0" fontId="0" fillId="4" borderId="0" xfId="0" applyFill="1" applyBorder="1" applyAlignment="1"/>
    <xf numFmtId="0" fontId="0" fillId="4" borderId="0" xfId="0" applyFill="1" applyBorder="1" applyAlignment="1">
      <alignment horizontal="center"/>
    </xf>
    <xf numFmtId="0" fontId="18" fillId="4" borderId="16" xfId="0" applyFont="1" applyFill="1" applyBorder="1" applyAlignment="1"/>
    <xf numFmtId="0" fontId="2" fillId="2" borderId="3" xfId="0" applyFont="1" applyFill="1" applyBorder="1" applyAlignment="1">
      <alignment horizontal="left"/>
    </xf>
    <xf numFmtId="0" fontId="2" fillId="2" borderId="3" xfId="0" applyFont="1" applyFill="1" applyBorder="1"/>
    <xf numFmtId="3" fontId="2" fillId="0" borderId="0" xfId="0" applyNumberFormat="1" applyFont="1" applyFill="1" applyBorder="1" applyProtection="1"/>
    <xf numFmtId="9" fontId="2" fillId="2" borderId="0" xfId="5" applyFont="1" applyFill="1" applyBorder="1" applyProtection="1"/>
    <xf numFmtId="3" fontId="2" fillId="2" borderId="0" xfId="0" applyNumberFormat="1" applyFont="1" applyFill="1" applyBorder="1" applyProtection="1"/>
    <xf numFmtId="3" fontId="51" fillId="2" borderId="0" xfId="0" applyNumberFormat="1" applyFont="1" applyFill="1" applyBorder="1" applyAlignment="1" applyProtection="1">
      <alignment horizontal="right" vertical="center"/>
    </xf>
    <xf numFmtId="0" fontId="9" fillId="0" borderId="0" xfId="0" applyFont="1" applyFill="1" applyBorder="1" applyAlignment="1" applyProtection="1">
      <alignment vertical="center"/>
    </xf>
    <xf numFmtId="0" fontId="9" fillId="0" borderId="0" xfId="0" applyFont="1" applyFill="1" applyBorder="1" applyAlignment="1"/>
    <xf numFmtId="0" fontId="9" fillId="0" borderId="0" xfId="0" applyFont="1" applyFill="1" applyBorder="1"/>
    <xf numFmtId="170" fontId="55" fillId="0" borderId="0" xfId="0" applyNumberFormat="1" applyFont="1" applyFill="1"/>
    <xf numFmtId="1" fontId="51" fillId="5" borderId="16" xfId="0" applyNumberFormat="1" applyFont="1" applyFill="1" applyBorder="1" applyAlignment="1" applyProtection="1">
      <alignment horizontal="right" vertical="center"/>
    </xf>
    <xf numFmtId="0" fontId="2" fillId="2" borderId="0" xfId="0" applyFont="1" applyFill="1"/>
    <xf numFmtId="0" fontId="3" fillId="2" borderId="0" xfId="0" applyFont="1" applyFill="1"/>
    <xf numFmtId="0" fontId="3" fillId="2" borderId="21" xfId="0" applyFont="1" applyFill="1" applyBorder="1" applyAlignment="1">
      <alignment vertical="center" wrapText="1"/>
    </xf>
    <xf numFmtId="0" fontId="3" fillId="2" borderId="21" xfId="0" applyFont="1" applyFill="1" applyBorder="1" applyAlignment="1" applyProtection="1">
      <alignment horizontal="right" vertical="center" wrapText="1"/>
    </xf>
    <xf numFmtId="0" fontId="0" fillId="2" borderId="21" xfId="0" applyFill="1" applyBorder="1" applyAlignment="1">
      <alignment vertical="center"/>
    </xf>
    <xf numFmtId="0" fontId="0" fillId="2" borderId="21" xfId="0" applyFill="1" applyBorder="1" applyAlignment="1">
      <alignment horizontal="right" vertical="center"/>
    </xf>
    <xf numFmtId="1" fontId="12" fillId="0" borderId="0" xfId="0" quotePrefix="1" applyNumberFormat="1" applyFont="1" applyFill="1" applyBorder="1" applyAlignment="1" applyProtection="1">
      <alignment horizontal="right" vertical="center"/>
    </xf>
    <xf numFmtId="0" fontId="0" fillId="0" borderId="0" xfId="0" applyAlignment="1">
      <alignment horizontal="left" wrapText="1"/>
    </xf>
    <xf numFmtId="0" fontId="9" fillId="2" borderId="0" xfId="0" applyFont="1" applyFill="1" applyBorder="1" applyAlignment="1">
      <alignment vertical="center"/>
    </xf>
    <xf numFmtId="9" fontId="9" fillId="2" borderId="0" xfId="5" applyFont="1" applyFill="1" applyBorder="1" applyAlignment="1" applyProtection="1">
      <alignment horizontal="right" indent="1"/>
    </xf>
    <xf numFmtId="0" fontId="0" fillId="0" borderId="4" xfId="0" applyBorder="1"/>
    <xf numFmtId="0" fontId="53" fillId="0" borderId="0" xfId="0" applyFont="1" applyAlignment="1">
      <alignment vertical="center"/>
    </xf>
    <xf numFmtId="0" fontId="2" fillId="2" borderId="3" xfId="0" applyFont="1" applyFill="1" applyBorder="1" applyAlignment="1">
      <alignment horizontal="left" wrapText="1"/>
    </xf>
    <xf numFmtId="0" fontId="9" fillId="0" borderId="0" xfId="0" applyFont="1" applyBorder="1"/>
    <xf numFmtId="0" fontId="9" fillId="0" borderId="0" xfId="0" applyFont="1" applyBorder="1" applyAlignment="1"/>
    <xf numFmtId="168" fontId="9" fillId="2" borderId="0" xfId="0" applyNumberFormat="1" applyFont="1" applyFill="1" applyBorder="1" applyAlignment="1">
      <alignment horizontal="right"/>
    </xf>
    <xf numFmtId="0" fontId="9" fillId="0" borderId="4" xfId="0" applyFont="1" applyBorder="1"/>
    <xf numFmtId="0" fontId="9" fillId="2" borderId="22" xfId="0" applyFont="1" applyFill="1" applyBorder="1" applyAlignment="1"/>
    <xf numFmtId="0" fontId="9" fillId="2" borderId="22" xfId="0" applyFont="1" applyFill="1" applyBorder="1" applyAlignment="1">
      <alignment vertical="top"/>
    </xf>
    <xf numFmtId="0" fontId="9" fillId="2" borderId="22" xfId="0" applyFont="1" applyFill="1" applyBorder="1" applyAlignment="1">
      <alignment vertical="top" wrapText="1"/>
    </xf>
    <xf numFmtId="0" fontId="9" fillId="2" borderId="22" xfId="0" applyFont="1" applyFill="1" applyBorder="1"/>
    <xf numFmtId="0" fontId="0" fillId="2" borderId="22" xfId="0" applyFill="1" applyBorder="1" applyAlignment="1"/>
    <xf numFmtId="0" fontId="9" fillId="2" borderId="23" xfId="0" applyFont="1" applyFill="1" applyBorder="1"/>
    <xf numFmtId="0" fontId="2" fillId="2" borderId="14" xfId="0" applyFont="1" applyFill="1" applyBorder="1" applyAlignment="1">
      <alignment horizontal="center"/>
    </xf>
    <xf numFmtId="0" fontId="2" fillId="2" borderId="14" xfId="0" applyFont="1" applyFill="1" applyBorder="1" applyAlignment="1">
      <alignment horizontal="left" wrapText="1"/>
    </xf>
    <xf numFmtId="0" fontId="0" fillId="4" borderId="24" xfId="0" applyFill="1" applyBorder="1" applyAlignment="1"/>
    <xf numFmtId="0" fontId="0" fillId="4" borderId="25" xfId="0" applyFill="1" applyBorder="1" applyAlignment="1"/>
    <xf numFmtId="0" fontId="4" fillId="4" borderId="25" xfId="0" applyFont="1" applyFill="1" applyBorder="1" applyAlignment="1">
      <alignment horizontal="right"/>
    </xf>
    <xf numFmtId="0" fontId="44" fillId="4" borderId="26" xfId="0" applyFont="1" applyFill="1" applyBorder="1" applyAlignment="1"/>
    <xf numFmtId="0" fontId="0" fillId="4" borderId="27" xfId="0" applyFill="1" applyBorder="1" applyAlignment="1"/>
    <xf numFmtId="0" fontId="0" fillId="4" borderId="28" xfId="0" applyFill="1" applyBorder="1" applyAlignment="1"/>
    <xf numFmtId="0" fontId="18" fillId="4" borderId="28" xfId="0" applyFont="1" applyFill="1" applyBorder="1" applyAlignment="1">
      <alignment horizontal="center" vertical="center"/>
    </xf>
    <xf numFmtId="0" fontId="0" fillId="2" borderId="29" xfId="0" applyFill="1" applyBorder="1" applyAlignment="1"/>
    <xf numFmtId="0" fontId="1" fillId="2" borderId="30" xfId="0" applyFont="1" applyFill="1" applyBorder="1" applyAlignment="1">
      <alignment horizontal="right"/>
    </xf>
    <xf numFmtId="0" fontId="9" fillId="2" borderId="28" xfId="0" applyFont="1" applyFill="1" applyBorder="1"/>
    <xf numFmtId="0" fontId="45" fillId="2" borderId="31" xfId="0" applyFont="1" applyFill="1" applyBorder="1" applyAlignment="1">
      <alignment horizontal="right" vertical="center" indent="1"/>
    </xf>
    <xf numFmtId="9" fontId="2" fillId="2" borderId="31" xfId="5" applyFont="1" applyFill="1" applyBorder="1" applyAlignment="1" applyProtection="1"/>
    <xf numFmtId="0" fontId="9" fillId="2" borderId="31" xfId="0" applyFont="1" applyFill="1" applyBorder="1" applyAlignment="1"/>
    <xf numFmtId="0" fontId="0" fillId="0" borderId="31" xfId="0" applyBorder="1"/>
    <xf numFmtId="0" fontId="0" fillId="0" borderId="32" xfId="0" applyBorder="1" applyAlignment="1">
      <alignment horizontal="center" vertical="center"/>
    </xf>
    <xf numFmtId="0" fontId="0" fillId="4" borderId="0" xfId="0" applyFill="1" applyBorder="1" applyAlignment="1">
      <alignment horizontal="left"/>
    </xf>
    <xf numFmtId="0" fontId="4" fillId="4" borderId="0" xfId="0" applyFont="1" applyFill="1" applyBorder="1" applyAlignment="1">
      <alignment horizontal="center"/>
    </xf>
    <xf numFmtId="0" fontId="44" fillId="4" borderId="28" xfId="0" applyFont="1" applyFill="1" applyBorder="1" applyAlignment="1">
      <alignment horizontal="center"/>
    </xf>
    <xf numFmtId="0" fontId="9" fillId="2" borderId="33" xfId="0" applyFont="1" applyFill="1" applyBorder="1"/>
    <xf numFmtId="0" fontId="9" fillId="2" borderId="31" xfId="0" applyFont="1" applyFill="1" applyBorder="1"/>
    <xf numFmtId="0" fontId="2" fillId="2" borderId="31" xfId="0" applyFont="1" applyFill="1" applyBorder="1" applyAlignment="1">
      <alignment horizontal="left"/>
    </xf>
    <xf numFmtId="0" fontId="2" fillId="2" borderId="31" xfId="0" applyFont="1" applyFill="1" applyBorder="1"/>
    <xf numFmtId="0" fontId="2" fillId="2" borderId="31" xfId="0" applyFont="1" applyFill="1" applyBorder="1" applyAlignment="1">
      <alignment horizontal="left" wrapText="1"/>
    </xf>
    <xf numFmtId="0" fontId="9" fillId="2" borderId="32" xfId="0" applyFont="1" applyFill="1" applyBorder="1"/>
    <xf numFmtId="0" fontId="45" fillId="2" borderId="34" xfId="0" applyFont="1" applyFill="1" applyBorder="1" applyAlignment="1">
      <alignment horizontal="right" vertical="center" indent="1"/>
    </xf>
    <xf numFmtId="0" fontId="0" fillId="0" borderId="10" xfId="0" applyBorder="1"/>
    <xf numFmtId="0" fontId="9" fillId="2" borderId="10" xfId="0" applyFont="1" applyFill="1" applyBorder="1"/>
    <xf numFmtId="0" fontId="0" fillId="0" borderId="35" xfId="0" applyBorder="1"/>
    <xf numFmtId="9" fontId="2" fillId="2" borderId="10" xfId="5" applyFont="1" applyFill="1" applyBorder="1" applyAlignment="1" applyProtection="1">
      <alignment horizontal="right" indent="1"/>
    </xf>
    <xf numFmtId="0" fontId="9" fillId="2" borderId="10" xfId="0" applyFont="1" applyFill="1" applyBorder="1" applyAlignment="1"/>
    <xf numFmtId="0" fontId="0" fillId="0" borderId="35" xfId="0" applyBorder="1" applyAlignment="1">
      <alignment horizontal="center" vertical="center"/>
    </xf>
    <xf numFmtId="0" fontId="9" fillId="2" borderId="34" xfId="0" applyFont="1" applyFill="1" applyBorder="1" applyAlignment="1"/>
    <xf numFmtId="0" fontId="9" fillId="2" borderId="11" xfId="0" applyFont="1" applyFill="1" applyBorder="1"/>
    <xf numFmtId="0" fontId="2" fillId="2" borderId="34" xfId="0" applyFont="1" applyFill="1" applyBorder="1" applyAlignment="1"/>
    <xf numFmtId="9" fontId="2" fillId="2" borderId="10" xfId="5" applyFont="1" applyFill="1" applyBorder="1" applyAlignment="1" applyProtection="1"/>
    <xf numFmtId="0" fontId="0" fillId="2" borderId="10" xfId="0" applyFill="1" applyBorder="1" applyAlignment="1">
      <alignment wrapText="1"/>
    </xf>
    <xf numFmtId="0" fontId="9" fillId="2" borderId="10" xfId="0" applyFont="1" applyFill="1" applyBorder="1" applyAlignment="1">
      <alignment vertical="top"/>
    </xf>
    <xf numFmtId="0" fontId="9" fillId="2" borderId="10" xfId="0" applyFont="1" applyFill="1" applyBorder="1" applyAlignment="1">
      <alignment vertical="top" wrapText="1"/>
    </xf>
    <xf numFmtId="0" fontId="0" fillId="2" borderId="10" xfId="0" applyFill="1" applyBorder="1" applyAlignment="1"/>
    <xf numFmtId="0" fontId="6" fillId="4" borderId="12" xfId="0" applyFont="1" applyFill="1" applyBorder="1" applyAlignment="1">
      <alignment horizontal="center"/>
    </xf>
    <xf numFmtId="0" fontId="6" fillId="4" borderId="4" xfId="0" applyFont="1" applyFill="1" applyBorder="1" applyAlignment="1">
      <alignment horizontal="center"/>
    </xf>
    <xf numFmtId="0" fontId="24" fillId="4" borderId="4" xfId="0" applyFont="1" applyFill="1" applyBorder="1" applyAlignment="1">
      <alignment horizontal="center"/>
    </xf>
    <xf numFmtId="0" fontId="6" fillId="4" borderId="20" xfId="0" applyFont="1" applyFill="1" applyBorder="1" applyAlignment="1">
      <alignment vertical="top"/>
    </xf>
    <xf numFmtId="3" fontId="9" fillId="0" borderId="0" xfId="0" applyNumberFormat="1" applyFont="1" applyBorder="1"/>
    <xf numFmtId="169" fontId="9" fillId="2" borderId="0" xfId="0" applyNumberFormat="1" applyFont="1" applyFill="1" applyBorder="1" applyAlignment="1">
      <alignment horizontal="right"/>
    </xf>
    <xf numFmtId="0" fontId="3" fillId="2" borderId="0" xfId="0" applyFont="1" applyFill="1" applyBorder="1" applyAlignment="1" applyProtection="1">
      <alignment horizontal="right" vertical="center" wrapText="1"/>
    </xf>
    <xf numFmtId="0" fontId="0" fillId="2" borderId="0" xfId="0" applyFill="1" applyBorder="1" applyAlignment="1">
      <alignment vertical="center"/>
    </xf>
    <xf numFmtId="168" fontId="12" fillId="0" borderId="0" xfId="0" quotePrefix="1" applyNumberFormat="1" applyFont="1" applyFill="1" applyBorder="1" applyAlignment="1" applyProtection="1">
      <alignment horizontal="right" vertical="center"/>
    </xf>
    <xf numFmtId="168" fontId="51" fillId="5" borderId="16" xfId="0" applyNumberFormat="1" applyFont="1" applyFill="1" applyBorder="1" applyAlignment="1" applyProtection="1">
      <alignment horizontal="right" vertical="center"/>
    </xf>
    <xf numFmtId="0" fontId="47" fillId="4" borderId="0" xfId="0" applyFont="1" applyFill="1" applyBorder="1" applyAlignment="1">
      <alignment vertical="center"/>
    </xf>
    <xf numFmtId="0" fontId="56" fillId="4" borderId="0" xfId="3" applyFont="1" applyFill="1" applyBorder="1" applyAlignment="1" applyProtection="1">
      <alignment vertical="center"/>
    </xf>
    <xf numFmtId="0" fontId="47" fillId="4" borderId="4" xfId="0" applyFont="1" applyFill="1" applyBorder="1" applyAlignment="1">
      <alignment vertical="center"/>
    </xf>
    <xf numFmtId="0" fontId="43" fillId="4" borderId="0" xfId="0" applyFont="1" applyFill="1" applyBorder="1" applyAlignment="1">
      <alignment horizontal="right" vertical="center"/>
    </xf>
    <xf numFmtId="0" fontId="9" fillId="0" borderId="3" xfId="0" applyFont="1" applyBorder="1" applyAlignment="1"/>
    <xf numFmtId="0" fontId="9" fillId="0" borderId="3" xfId="0" applyFont="1" applyBorder="1"/>
    <xf numFmtId="0" fontId="0" fillId="0" borderId="5" xfId="0" applyBorder="1" applyAlignment="1">
      <alignment horizontal="center" vertical="center"/>
    </xf>
    <xf numFmtId="0" fontId="0" fillId="0" borderId="0" xfId="0" applyBorder="1" applyAlignment="1">
      <alignment horizontal="right"/>
    </xf>
    <xf numFmtId="0" fontId="6" fillId="0" borderId="0" xfId="0" applyFont="1" applyBorder="1" applyAlignment="1">
      <alignment horizontal="right"/>
    </xf>
    <xf numFmtId="3" fontId="12" fillId="0" borderId="0" xfId="0" quotePrefix="1" applyNumberFormat="1" applyFont="1" applyFill="1" applyBorder="1" applyAlignment="1" applyProtection="1">
      <alignment horizontal="right" vertical="center"/>
    </xf>
    <xf numFmtId="3" fontId="51" fillId="5" borderId="16" xfId="0" applyNumberFormat="1" applyFont="1" applyFill="1" applyBorder="1" applyAlignment="1" applyProtection="1">
      <alignment horizontal="right" vertical="center"/>
    </xf>
    <xf numFmtId="3" fontId="0" fillId="0" borderId="0" xfId="0" applyNumberFormat="1" applyFill="1"/>
    <xf numFmtId="169" fontId="6" fillId="4" borderId="7" xfId="0" applyNumberFormat="1" applyFont="1" applyFill="1" applyBorder="1" applyAlignment="1">
      <alignment horizontal="center"/>
    </xf>
    <xf numFmtId="169" fontId="6" fillId="4" borderId="0" xfId="0" applyNumberFormat="1" applyFont="1" applyFill="1" applyBorder="1" applyAlignment="1">
      <alignment horizontal="center"/>
    </xf>
    <xf numFmtId="169" fontId="3" fillId="4" borderId="0" xfId="0" applyNumberFormat="1" applyFont="1" applyFill="1" applyBorder="1" applyAlignment="1">
      <alignment horizontal="center"/>
    </xf>
    <xf numFmtId="169" fontId="3" fillId="4" borderId="0" xfId="0" applyNumberFormat="1" applyFont="1" applyFill="1" applyBorder="1" applyAlignment="1" applyProtection="1">
      <alignment horizontal="center"/>
    </xf>
    <xf numFmtId="169" fontId="3" fillId="4" borderId="19" xfId="0" applyNumberFormat="1" applyFont="1" applyFill="1" applyBorder="1" applyAlignment="1">
      <alignment horizontal="center" vertical="top"/>
    </xf>
    <xf numFmtId="169" fontId="6" fillId="0" borderId="0" xfId="0" applyNumberFormat="1" applyFont="1"/>
    <xf numFmtId="3" fontId="3" fillId="4" borderId="0" xfId="0" quotePrefix="1" applyNumberFormat="1" applyFont="1" applyFill="1" applyBorder="1" applyAlignment="1">
      <alignment horizontal="center"/>
    </xf>
    <xf numFmtId="3" fontId="3" fillId="4" borderId="19" xfId="0" quotePrefix="1" applyNumberFormat="1" applyFont="1" applyFill="1" applyBorder="1" applyAlignment="1">
      <alignment vertical="top"/>
    </xf>
    <xf numFmtId="3" fontId="3" fillId="4" borderId="0" xfId="0" quotePrefix="1" applyNumberFormat="1" applyFont="1" applyFill="1" applyBorder="1" applyAlignment="1" applyProtection="1">
      <alignment horizontal="center"/>
    </xf>
    <xf numFmtId="3" fontId="3" fillId="0" borderId="0" xfId="0" applyNumberFormat="1" applyFont="1" applyFill="1" applyBorder="1" applyAlignment="1">
      <alignment horizontal="right"/>
    </xf>
    <xf numFmtId="3" fontId="1" fillId="0" borderId="0" xfId="1" applyNumberFormat="1" applyFont="1" applyFill="1" applyBorder="1"/>
    <xf numFmtId="0" fontId="1" fillId="0" borderId="0" xfId="0" applyFont="1" applyFill="1" applyBorder="1"/>
    <xf numFmtId="3" fontId="1" fillId="0" borderId="0" xfId="0" applyNumberFormat="1" applyFont="1" applyFill="1" applyBorder="1"/>
    <xf numFmtId="3" fontId="0" fillId="0" borderId="0" xfId="0" applyNumberFormat="1" applyFill="1" applyBorder="1" applyAlignment="1" applyProtection="1">
      <alignment horizontal="right"/>
    </xf>
    <xf numFmtId="3" fontId="0" fillId="0" borderId="0" xfId="0" applyNumberFormat="1" applyFill="1" applyBorder="1" applyProtection="1"/>
    <xf numFmtId="3" fontId="1" fillId="0" borderId="0" xfId="0" applyNumberFormat="1" applyFont="1" applyFill="1" applyBorder="1" applyAlignment="1">
      <alignment horizontal="right"/>
    </xf>
    <xf numFmtId="3" fontId="3" fillId="0" borderId="0" xfId="0" applyNumberFormat="1" applyFont="1" applyFill="1" applyBorder="1"/>
    <xf numFmtId="3" fontId="6" fillId="0" borderId="0" xfId="0" applyNumberFormat="1" applyFont="1" applyFill="1"/>
    <xf numFmtId="0" fontId="3" fillId="0" borderId="0" xfId="0" applyFont="1" applyFill="1" applyBorder="1"/>
    <xf numFmtId="0" fontId="3" fillId="0" borderId="0" xfId="0" applyFont="1" applyFill="1"/>
    <xf numFmtId="0" fontId="3" fillId="0" borderId="0" xfId="0" applyFont="1" applyFill="1" applyAlignment="1">
      <alignment horizontal="center"/>
    </xf>
    <xf numFmtId="0" fontId="3" fillId="0" borderId="0" xfId="0" applyFont="1" applyFill="1" applyAlignment="1">
      <alignment horizontal="right"/>
    </xf>
    <xf numFmtId="0" fontId="1" fillId="0" borderId="0" xfId="0" applyFont="1" applyFill="1" applyAlignment="1">
      <alignment horizontal="right"/>
    </xf>
    <xf numFmtId="0" fontId="0" fillId="0" borderId="0" xfId="0" applyFill="1" applyAlignment="1" applyProtection="1">
      <alignment horizontal="right"/>
    </xf>
    <xf numFmtId="3" fontId="1" fillId="0" borderId="0" xfId="0" applyNumberFormat="1" applyFont="1" applyFill="1"/>
    <xf numFmtId="0" fontId="1" fillId="0" borderId="0" xfId="0" applyFont="1" applyFill="1"/>
    <xf numFmtId="169" fontId="6" fillId="0" borderId="0" xfId="0" applyNumberFormat="1" applyFont="1" applyFill="1" applyAlignment="1"/>
    <xf numFmtId="3" fontId="6" fillId="0" borderId="0" xfId="0" applyNumberFormat="1" applyFont="1" applyFill="1" applyAlignment="1"/>
    <xf numFmtId="3" fontId="3" fillId="0" borderId="0" xfId="0" applyNumberFormat="1" applyFont="1" applyFill="1" applyAlignment="1"/>
    <xf numFmtId="0" fontId="6" fillId="0" borderId="0" xfId="0" applyFont="1" applyFill="1" applyAlignment="1"/>
    <xf numFmtId="0" fontId="1" fillId="0" borderId="0" xfId="0" applyFont="1" applyFill="1" applyAlignment="1">
      <alignment horizontal="center"/>
    </xf>
    <xf numFmtId="3" fontId="1" fillId="0" borderId="0" xfId="0" applyNumberFormat="1" applyFont="1" applyFill="1" applyAlignment="1">
      <alignment horizontal="right"/>
    </xf>
    <xf numFmtId="169" fontId="6" fillId="0" borderId="0" xfId="0" applyNumberFormat="1" applyFont="1" applyFill="1"/>
    <xf numFmtId="169" fontId="3" fillId="0" borderId="0" xfId="0" applyNumberFormat="1" applyFont="1" applyFill="1" applyBorder="1" applyAlignment="1">
      <alignment horizontal="right"/>
    </xf>
    <xf numFmtId="0" fontId="6" fillId="0" borderId="36" xfId="0" applyFont="1" applyFill="1" applyBorder="1" applyAlignment="1">
      <alignment horizontal="center"/>
    </xf>
    <xf numFmtId="3" fontId="0" fillId="0" borderId="0" xfId="0" applyNumberFormat="1" applyFill="1" applyProtection="1"/>
    <xf numFmtId="3" fontId="3" fillId="0" borderId="0" xfId="0" applyNumberFormat="1" applyFont="1" applyFill="1"/>
    <xf numFmtId="0" fontId="6" fillId="0" borderId="0" xfId="0" applyFont="1" applyFill="1" applyAlignment="1">
      <alignment horizontal="center"/>
    </xf>
    <xf numFmtId="0" fontId="28" fillId="4" borderId="3" xfId="0" applyFont="1" applyFill="1" applyBorder="1" applyAlignment="1">
      <alignment vertical="center"/>
    </xf>
    <xf numFmtId="0" fontId="15" fillId="4" borderId="4" xfId="0" applyFont="1" applyFill="1" applyBorder="1" applyAlignment="1">
      <alignment horizontal="right" vertical="center"/>
    </xf>
    <xf numFmtId="0" fontId="49" fillId="4" borderId="12" xfId="0" applyFont="1" applyFill="1" applyBorder="1" applyAlignment="1">
      <alignment horizontal="right" vertical="center"/>
    </xf>
    <xf numFmtId="0" fontId="0" fillId="0" borderId="0" xfId="0" applyFill="1" applyBorder="1" applyAlignment="1" applyProtection="1">
      <alignment horizontal="right"/>
    </xf>
    <xf numFmtId="1" fontId="57" fillId="0" borderId="0" xfId="0" applyNumberFormat="1" applyFont="1"/>
    <xf numFmtId="0" fontId="57" fillId="0" borderId="0" xfId="0" applyFont="1"/>
    <xf numFmtId="3" fontId="3" fillId="4" borderId="37" xfId="0" applyNumberFormat="1" applyFont="1" applyFill="1" applyBorder="1" applyAlignment="1">
      <alignment horizontal="right"/>
    </xf>
    <xf numFmtId="3" fontId="3" fillId="4" borderId="14" xfId="0" applyNumberFormat="1" applyFont="1" applyFill="1" applyBorder="1" applyAlignment="1" applyProtection="1">
      <alignment horizontal="right"/>
    </xf>
    <xf numFmtId="3" fontId="3" fillId="4" borderId="14" xfId="0" applyNumberFormat="1" applyFont="1" applyFill="1" applyBorder="1" applyAlignment="1">
      <alignment horizontal="right"/>
    </xf>
    <xf numFmtId="3" fontId="3" fillId="4" borderId="15" xfId="0" applyNumberFormat="1" applyFont="1" applyFill="1" applyBorder="1" applyAlignment="1">
      <alignment horizontal="center"/>
    </xf>
    <xf numFmtId="3" fontId="3" fillId="4" borderId="38" xfId="0" applyNumberFormat="1" applyFont="1" applyFill="1" applyBorder="1" applyAlignment="1">
      <alignment horizontal="center" vertical="top"/>
    </xf>
    <xf numFmtId="3" fontId="6" fillId="0" borderId="0" xfId="0" applyNumberFormat="1" applyFont="1" applyFill="1" applyBorder="1" applyAlignment="1"/>
    <xf numFmtId="0" fontId="6" fillId="0" borderId="0" xfId="0" applyFont="1" applyFill="1" applyBorder="1" applyAlignment="1"/>
    <xf numFmtId="3" fontId="6" fillId="0" borderId="0" xfId="0" applyNumberFormat="1" applyFont="1" applyFill="1" applyBorder="1"/>
    <xf numFmtId="3" fontId="9" fillId="2" borderId="4" xfId="0" applyNumberFormat="1" applyFont="1" applyFill="1" applyBorder="1"/>
    <xf numFmtId="1" fontId="9" fillId="2" borderId="4" xfId="0" applyNumberFormat="1" applyFont="1" applyFill="1" applyBorder="1"/>
    <xf numFmtId="0" fontId="9" fillId="2" borderId="4" xfId="0" applyFont="1" applyFill="1" applyBorder="1" applyAlignment="1"/>
    <xf numFmtId="3" fontId="51" fillId="2" borderId="4" xfId="0" applyNumberFormat="1" applyFont="1" applyFill="1" applyBorder="1" applyAlignment="1" applyProtection="1">
      <alignment horizontal="right" vertical="center"/>
    </xf>
    <xf numFmtId="168" fontId="0" fillId="0" borderId="0" xfId="0" applyNumberFormat="1" applyFill="1"/>
    <xf numFmtId="168" fontId="6" fillId="0" borderId="0" xfId="0" applyNumberFormat="1" applyFont="1" applyFill="1" applyAlignment="1"/>
    <xf numFmtId="168" fontId="6" fillId="0" borderId="0" xfId="0" applyNumberFormat="1" applyFont="1" applyFill="1"/>
    <xf numFmtId="168" fontId="3" fillId="0" borderId="0" xfId="0" applyNumberFormat="1" applyFont="1" applyFill="1" applyBorder="1" applyAlignment="1">
      <alignment horizontal="right"/>
    </xf>
    <xf numFmtId="168" fontId="6" fillId="0" borderId="0" xfId="0" applyNumberFormat="1" applyFont="1"/>
    <xf numFmtId="0" fontId="6" fillId="7" borderId="0" xfId="0" applyFont="1" applyFill="1" applyBorder="1"/>
    <xf numFmtId="0" fontId="6" fillId="7" borderId="1" xfId="0" applyFont="1" applyFill="1" applyBorder="1" applyAlignment="1">
      <alignment horizontal="center"/>
    </xf>
    <xf numFmtId="0" fontId="6" fillId="7" borderId="0" xfId="0" applyFont="1" applyFill="1" applyBorder="1" applyAlignment="1">
      <alignment horizontal="center"/>
    </xf>
    <xf numFmtId="3" fontId="6" fillId="7" borderId="39" xfId="1" applyNumberFormat="1" applyFont="1" applyFill="1" applyBorder="1" applyAlignment="1" applyProtection="1">
      <alignment horizontal="right" indent="1"/>
    </xf>
    <xf numFmtId="0" fontId="6" fillId="7" borderId="0" xfId="0" applyFont="1" applyFill="1" applyAlignment="1">
      <alignment horizontal="center"/>
    </xf>
    <xf numFmtId="0" fontId="57" fillId="7" borderId="18" xfId="0" applyFont="1" applyFill="1" applyBorder="1" applyAlignment="1">
      <alignment horizontal="center"/>
    </xf>
    <xf numFmtId="0" fontId="57" fillId="7" borderId="19" xfId="0" applyFont="1" applyFill="1" applyBorder="1" applyAlignment="1">
      <alignment horizontal="center"/>
    </xf>
    <xf numFmtId="170" fontId="57" fillId="7" borderId="16" xfId="1" applyNumberFormat="1" applyFont="1" applyFill="1" applyBorder="1" applyAlignment="1" applyProtection="1">
      <alignment vertical="top"/>
    </xf>
    <xf numFmtId="1" fontId="0" fillId="0" borderId="0" xfId="0" applyNumberFormat="1" applyBorder="1"/>
    <xf numFmtId="1" fontId="0" fillId="0" borderId="0" xfId="0" applyNumberFormat="1" applyFill="1" applyBorder="1"/>
    <xf numFmtId="0" fontId="6" fillId="7" borderId="40" xfId="0" applyFont="1" applyFill="1" applyBorder="1"/>
    <xf numFmtId="0" fontId="6" fillId="7" borderId="41" xfId="0" applyFont="1" applyFill="1" applyBorder="1"/>
    <xf numFmtId="0" fontId="57" fillId="7" borderId="42" xfId="0" applyFont="1" applyFill="1" applyBorder="1"/>
    <xf numFmtId="0" fontId="6" fillId="7" borderId="43" xfId="0" applyFont="1" applyFill="1" applyBorder="1"/>
    <xf numFmtId="0" fontId="6" fillId="7" borderId="18" xfId="0" applyFont="1" applyFill="1" applyBorder="1"/>
    <xf numFmtId="0" fontId="6" fillId="7" borderId="42" xfId="0" applyFont="1" applyFill="1" applyBorder="1"/>
    <xf numFmtId="0" fontId="6" fillId="7" borderId="38" xfId="0" applyFont="1" applyFill="1" applyBorder="1" applyAlignment="1">
      <alignment horizontal="center"/>
    </xf>
    <xf numFmtId="0" fontId="0" fillId="7" borderId="42" xfId="0" applyFill="1" applyBorder="1"/>
    <xf numFmtId="170" fontId="0" fillId="7" borderId="42" xfId="1" applyNumberFormat="1" applyFont="1" applyFill="1" applyBorder="1" applyAlignment="1" applyProtection="1">
      <alignment vertical="top"/>
    </xf>
    <xf numFmtId="170" fontId="55" fillId="7" borderId="42" xfId="1" applyNumberFormat="1" applyFont="1" applyFill="1" applyBorder="1" applyAlignment="1" applyProtection="1">
      <alignment vertical="top"/>
    </xf>
    <xf numFmtId="3" fontId="0" fillId="7" borderId="42" xfId="1" applyNumberFormat="1" applyFont="1" applyFill="1" applyBorder="1" applyAlignment="1" applyProtection="1">
      <alignment vertical="top"/>
    </xf>
    <xf numFmtId="168" fontId="0" fillId="7" borderId="42" xfId="1" applyNumberFormat="1" applyFont="1" applyFill="1" applyBorder="1" applyAlignment="1" applyProtection="1">
      <alignment vertical="top"/>
    </xf>
    <xf numFmtId="0" fontId="6" fillId="7" borderId="44" xfId="0" applyFont="1" applyFill="1" applyBorder="1" applyAlignment="1">
      <alignment horizontal="center"/>
    </xf>
    <xf numFmtId="170" fontId="6" fillId="7" borderId="44" xfId="1" applyNumberFormat="1" applyFont="1" applyFill="1" applyBorder="1" applyAlignment="1" applyProtection="1"/>
    <xf numFmtId="0" fontId="6" fillId="7" borderId="44" xfId="0" applyFont="1" applyFill="1" applyBorder="1" applyAlignment="1" applyProtection="1"/>
    <xf numFmtId="0" fontId="6" fillId="7" borderId="45" xfId="0" applyFont="1" applyFill="1" applyBorder="1" applyAlignment="1" applyProtection="1"/>
    <xf numFmtId="3" fontId="6" fillId="7" borderId="45" xfId="0" applyNumberFormat="1" applyFont="1" applyFill="1" applyBorder="1" applyAlignment="1" applyProtection="1"/>
    <xf numFmtId="3" fontId="6" fillId="7" borderId="46" xfId="0" applyNumberFormat="1" applyFont="1" applyFill="1" applyBorder="1" applyAlignment="1" applyProtection="1"/>
    <xf numFmtId="3" fontId="6" fillId="7" borderId="43" xfId="0" applyNumberFormat="1" applyFont="1" applyFill="1" applyBorder="1" applyAlignment="1" applyProtection="1"/>
    <xf numFmtId="3" fontId="6" fillId="7" borderId="44" xfId="0" applyNumberFormat="1" applyFont="1" applyFill="1" applyBorder="1" applyAlignment="1" applyProtection="1"/>
    <xf numFmtId="169" fontId="6" fillId="7" borderId="44" xfId="0" applyNumberFormat="1" applyFont="1" applyFill="1" applyBorder="1" applyAlignment="1" applyProtection="1"/>
    <xf numFmtId="0" fontId="6" fillId="7" borderId="44" xfId="0" applyFont="1" applyFill="1" applyBorder="1"/>
    <xf numFmtId="168" fontId="6" fillId="7" borderId="44" xfId="0" applyNumberFormat="1" applyFont="1" applyFill="1" applyBorder="1" applyAlignment="1" applyProtection="1"/>
    <xf numFmtId="0" fontId="61" fillId="0" borderId="2" xfId="0" applyFont="1" applyFill="1" applyBorder="1"/>
    <xf numFmtId="0" fontId="61" fillId="0" borderId="2" xfId="0" applyFont="1" applyBorder="1"/>
    <xf numFmtId="0" fontId="61" fillId="0" borderId="0" xfId="0" applyFont="1" applyFill="1" applyBorder="1"/>
    <xf numFmtId="0" fontId="61" fillId="0" borderId="0" xfId="0" applyFont="1" applyBorder="1"/>
    <xf numFmtId="0" fontId="61" fillId="0" borderId="0" xfId="0" applyFont="1" applyFill="1" applyBorder="1" applyAlignment="1">
      <alignment horizontal="center" vertical="center"/>
    </xf>
    <xf numFmtId="0" fontId="61" fillId="0" borderId="0" xfId="0" applyFont="1"/>
    <xf numFmtId="0" fontId="61" fillId="0" borderId="0" xfId="0" applyFont="1" applyFill="1"/>
    <xf numFmtId="0" fontId="61" fillId="0" borderId="0" xfId="0" applyFont="1" applyFill="1" applyAlignment="1">
      <alignment horizontal="left" indent="1"/>
    </xf>
    <xf numFmtId="0" fontId="62" fillId="0" borderId="0" xfId="0" applyFont="1" applyAlignment="1">
      <alignment horizontal="center"/>
    </xf>
    <xf numFmtId="3" fontId="61" fillId="0" borderId="0" xfId="0" applyNumberFormat="1" applyFont="1"/>
    <xf numFmtId="0" fontId="63" fillId="0" borderId="0" xfId="0" applyFont="1" applyFill="1"/>
    <xf numFmtId="0" fontId="63" fillId="0" borderId="0" xfId="0" applyFont="1"/>
    <xf numFmtId="0" fontId="61" fillId="0" borderId="0" xfId="0" applyFont="1" applyAlignment="1">
      <alignment vertical="center"/>
    </xf>
    <xf numFmtId="0" fontId="61" fillId="0" borderId="0" xfId="0" applyFont="1" applyAlignment="1"/>
    <xf numFmtId="0" fontId="60" fillId="7" borderId="45" xfId="0" applyFont="1" applyFill="1" applyBorder="1" applyAlignment="1" applyProtection="1"/>
    <xf numFmtId="3" fontId="55" fillId="7" borderId="39" xfId="1" applyNumberFormat="1" applyFont="1" applyFill="1" applyBorder="1" applyAlignment="1" applyProtection="1">
      <alignment horizontal="right" vertical="top" indent="1"/>
    </xf>
    <xf numFmtId="3" fontId="55" fillId="7" borderId="47" xfId="1" applyNumberFormat="1" applyFont="1" applyFill="1" applyBorder="1" applyAlignment="1" applyProtection="1">
      <alignment horizontal="right" vertical="top" indent="1"/>
    </xf>
    <xf numFmtId="0" fontId="3" fillId="4" borderId="48" xfId="0" applyFont="1" applyFill="1" applyBorder="1" applyAlignment="1" applyProtection="1">
      <alignment horizontal="center"/>
    </xf>
    <xf numFmtId="0" fontId="3" fillId="4" borderId="2" xfId="0" applyFont="1" applyFill="1" applyBorder="1" applyAlignment="1">
      <alignment horizontal="center"/>
    </xf>
    <xf numFmtId="0" fontId="3" fillId="4" borderId="37" xfId="0" applyFont="1" applyFill="1" applyBorder="1" applyAlignment="1" applyProtection="1">
      <alignment horizontal="center"/>
    </xf>
    <xf numFmtId="164" fontId="3" fillId="4" borderId="36" xfId="0" quotePrefix="1" applyNumberFormat="1" applyFont="1" applyFill="1" applyBorder="1" applyAlignment="1">
      <alignment horizontal="center"/>
    </xf>
    <xf numFmtId="164" fontId="3" fillId="4" borderId="14" xfId="0" quotePrefix="1" applyNumberFormat="1" applyFont="1" applyFill="1" applyBorder="1" applyAlignment="1">
      <alignment horizontal="center"/>
    </xf>
    <xf numFmtId="164" fontId="3" fillId="4" borderId="49" xfId="0" quotePrefix="1" applyNumberFormat="1" applyFont="1" applyFill="1" applyBorder="1" applyAlignment="1">
      <alignment vertical="top"/>
    </xf>
    <xf numFmtId="164" fontId="3" fillId="4" borderId="38" xfId="0" quotePrefix="1" applyNumberFormat="1" applyFont="1" applyFill="1" applyBorder="1" applyAlignment="1">
      <alignment vertical="top"/>
    </xf>
    <xf numFmtId="3" fontId="3" fillId="4" borderId="36" xfId="0" applyNumberFormat="1" applyFont="1" applyFill="1" applyBorder="1" applyAlignment="1" applyProtection="1">
      <alignment horizontal="center"/>
    </xf>
    <xf numFmtId="3" fontId="3" fillId="4" borderId="14" xfId="0" applyNumberFormat="1" applyFont="1" applyFill="1" applyBorder="1" applyAlignment="1">
      <alignment horizontal="center"/>
    </xf>
    <xf numFmtId="3" fontId="3" fillId="4" borderId="36" xfId="0" quotePrefix="1" applyNumberFormat="1" applyFont="1" applyFill="1" applyBorder="1" applyAlignment="1">
      <alignment horizontal="center"/>
    </xf>
    <xf numFmtId="3" fontId="3" fillId="4" borderId="14" xfId="0" quotePrefix="1" applyNumberFormat="1" applyFont="1" applyFill="1" applyBorder="1" applyAlignment="1">
      <alignment horizontal="center"/>
    </xf>
    <xf numFmtId="3" fontId="3" fillId="4" borderId="49" xfId="0" quotePrefix="1" applyNumberFormat="1" applyFont="1" applyFill="1" applyBorder="1" applyAlignment="1">
      <alignment vertical="top"/>
    </xf>
    <xf numFmtId="3" fontId="3" fillId="4" borderId="38" xfId="0" quotePrefix="1" applyNumberFormat="1" applyFont="1" applyFill="1" applyBorder="1" applyAlignment="1">
      <alignment vertical="top"/>
    </xf>
    <xf numFmtId="3" fontId="26" fillId="2" borderId="16" xfId="0" applyNumberFormat="1" applyFont="1" applyFill="1" applyBorder="1" applyAlignment="1" applyProtection="1">
      <alignment horizontal="right" vertical="center" indent="1"/>
      <protection locked="0"/>
    </xf>
    <xf numFmtId="3" fontId="2" fillId="3" borderId="0" xfId="0" applyNumberFormat="1" applyFont="1" applyFill="1" applyBorder="1" applyAlignment="1" applyProtection="1">
      <alignment horizontal="right" vertical="center" indent="1"/>
    </xf>
    <xf numFmtId="3" fontId="26" fillId="2" borderId="16" xfId="1" applyNumberFormat="1" applyFont="1" applyFill="1" applyBorder="1" applyAlignment="1" applyProtection="1">
      <alignment horizontal="right" vertical="center" indent="1"/>
      <protection locked="0"/>
    </xf>
    <xf numFmtId="3" fontId="26" fillId="2" borderId="50" xfId="0" applyNumberFormat="1" applyFont="1" applyFill="1" applyBorder="1" applyAlignment="1" applyProtection="1">
      <alignment horizontal="right" vertical="center" indent="1"/>
    </xf>
    <xf numFmtId="0" fontId="26" fillId="3" borderId="0" xfId="0" applyFont="1" applyFill="1" applyBorder="1" applyAlignment="1" applyProtection="1">
      <alignment horizontal="right" vertical="center" indent="1"/>
    </xf>
    <xf numFmtId="167" fontId="2" fillId="3" borderId="0" xfId="0" applyNumberFormat="1" applyFont="1" applyFill="1" applyBorder="1" applyAlignment="1" applyProtection="1">
      <alignment horizontal="right" vertical="center" indent="1"/>
    </xf>
    <xf numFmtId="2" fontId="2" fillId="3" borderId="0" xfId="0" applyNumberFormat="1" applyFont="1" applyFill="1" applyBorder="1" applyAlignment="1" applyProtection="1">
      <alignment horizontal="right" vertical="center" indent="1"/>
    </xf>
    <xf numFmtId="168" fontId="26" fillId="2" borderId="50" xfId="0" applyNumberFormat="1" applyFont="1" applyFill="1" applyBorder="1" applyAlignment="1" applyProtection="1">
      <alignment horizontal="right" vertical="center" indent="1"/>
    </xf>
    <xf numFmtId="2" fontId="2" fillId="3" borderId="0" xfId="0" quotePrefix="1" applyNumberFormat="1" applyFont="1" applyFill="1" applyBorder="1" applyAlignment="1" applyProtection="1">
      <alignment horizontal="right" vertical="center" indent="1"/>
    </xf>
    <xf numFmtId="3" fontId="31" fillId="2" borderId="16" xfId="0" applyNumberFormat="1" applyFont="1" applyFill="1" applyBorder="1" applyAlignment="1" applyProtection="1">
      <alignment horizontal="right" vertical="center" indent="1"/>
      <protection locked="0"/>
    </xf>
    <xf numFmtId="3" fontId="26" fillId="0" borderId="16" xfId="0" applyNumberFormat="1" applyFont="1" applyFill="1" applyBorder="1" applyAlignment="1" applyProtection="1">
      <alignment horizontal="right" vertical="center" indent="1"/>
      <protection locked="0"/>
    </xf>
    <xf numFmtId="168" fontId="2" fillId="3" borderId="0" xfId="0" applyNumberFormat="1" applyFont="1" applyFill="1" applyBorder="1" applyAlignment="1" applyProtection="1">
      <alignment horizontal="right" vertical="center" indent="1"/>
    </xf>
    <xf numFmtId="0" fontId="12" fillId="3" borderId="0" xfId="0" applyFont="1" applyFill="1" applyBorder="1" applyAlignment="1" applyProtection="1">
      <alignment horizontal="right" vertical="center" indent="1"/>
    </xf>
    <xf numFmtId="3" fontId="12" fillId="3" borderId="0" xfId="0" applyNumberFormat="1" applyFont="1" applyFill="1" applyBorder="1" applyAlignment="1" applyProtection="1">
      <alignment horizontal="right" vertical="center" indent="1"/>
    </xf>
    <xf numFmtId="3" fontId="26" fillId="2" borderId="0" xfId="0" applyNumberFormat="1" applyFont="1" applyFill="1" applyBorder="1" applyAlignment="1" applyProtection="1">
      <alignment horizontal="right" vertical="center" indent="1"/>
      <protection locked="0"/>
    </xf>
    <xf numFmtId="0" fontId="64" fillId="4" borderId="25" xfId="0" applyFont="1" applyFill="1" applyBorder="1" applyAlignment="1"/>
    <xf numFmtId="3" fontId="0" fillId="7" borderId="0" xfId="0" applyNumberFormat="1" applyFill="1"/>
    <xf numFmtId="3" fontId="0" fillId="7" borderId="39" xfId="0" applyNumberFormat="1" applyFill="1" applyBorder="1"/>
    <xf numFmtId="3" fontId="0" fillId="7" borderId="47" xfId="0" applyNumberFormat="1" applyFill="1" applyBorder="1"/>
    <xf numFmtId="170" fontId="6" fillId="7" borderId="51" xfId="1" applyNumberFormat="1" applyFont="1" applyFill="1" applyBorder="1" applyAlignment="1" applyProtection="1"/>
    <xf numFmtId="3" fontId="0" fillId="7" borderId="51" xfId="0" applyNumberFormat="1" applyFill="1" applyBorder="1"/>
    <xf numFmtId="0" fontId="6" fillId="7" borderId="51" xfId="0" applyFont="1" applyFill="1" applyBorder="1" applyAlignment="1" applyProtection="1"/>
    <xf numFmtId="3" fontId="6" fillId="7" borderId="51" xfId="0" applyNumberFormat="1" applyFont="1" applyFill="1" applyBorder="1" applyAlignment="1" applyProtection="1"/>
    <xf numFmtId="169" fontId="0" fillId="7" borderId="0" xfId="0" applyNumberFormat="1" applyFill="1"/>
    <xf numFmtId="0" fontId="3" fillId="4" borderId="4" xfId="0" applyFont="1" applyFill="1" applyBorder="1" applyAlignment="1" applyProtection="1">
      <alignment horizontal="center"/>
    </xf>
    <xf numFmtId="0" fontId="3" fillId="4" borderId="1" xfId="0" applyFont="1" applyFill="1" applyBorder="1" applyAlignment="1" applyProtection="1">
      <alignment horizontal="center"/>
    </xf>
    <xf numFmtId="164" fontId="3" fillId="4" borderId="1" xfId="0" quotePrefix="1" applyNumberFormat="1" applyFont="1" applyFill="1" applyBorder="1" applyAlignment="1">
      <alignment horizontal="center"/>
    </xf>
    <xf numFmtId="0" fontId="3" fillId="4" borderId="4" xfId="0" applyFont="1" applyFill="1" applyBorder="1" applyAlignment="1">
      <alignment horizontal="center"/>
    </xf>
    <xf numFmtId="164" fontId="3" fillId="4" borderId="18" xfId="0" quotePrefix="1" applyNumberFormat="1" applyFont="1" applyFill="1" applyBorder="1" applyAlignment="1">
      <alignment vertical="top"/>
    </xf>
    <xf numFmtId="0" fontId="3" fillId="4" borderId="20" xfId="0" applyFont="1" applyFill="1" applyBorder="1" applyAlignment="1">
      <alignment vertical="top"/>
    </xf>
    <xf numFmtId="0" fontId="9" fillId="0" borderId="0" xfId="0" applyFont="1" applyFill="1" applyBorder="1" applyAlignment="1">
      <alignment horizontal="right" indent="1"/>
    </xf>
    <xf numFmtId="0" fontId="9" fillId="0" borderId="0" xfId="0" applyFont="1" applyFill="1" applyBorder="1" applyAlignment="1">
      <alignment vertical="top" wrapText="1"/>
    </xf>
    <xf numFmtId="168" fontId="12" fillId="0" borderId="0" xfId="2" quotePrefix="1" applyNumberFormat="1" applyFont="1" applyFill="1" applyBorder="1" applyAlignment="1" applyProtection="1">
      <alignment horizontal="right" vertical="center"/>
    </xf>
    <xf numFmtId="3" fontId="1" fillId="0" borderId="0" xfId="4" applyNumberFormat="1"/>
    <xf numFmtId="3" fontId="0" fillId="0" borderId="0" xfId="0" applyNumberFormat="1"/>
    <xf numFmtId="0" fontId="35" fillId="4" borderId="1" xfId="0" applyFont="1" applyFill="1" applyBorder="1" applyAlignment="1">
      <alignment horizontal="center"/>
    </xf>
    <xf numFmtId="0" fontId="12" fillId="4" borderId="0" xfId="0" applyFont="1" applyFill="1" applyBorder="1" applyAlignment="1"/>
    <xf numFmtId="0" fontId="12" fillId="4" borderId="4" xfId="0" applyFont="1" applyFill="1" applyBorder="1" applyAlignment="1"/>
    <xf numFmtId="0" fontId="2" fillId="6" borderId="0" xfId="0" applyFont="1" applyFill="1" applyBorder="1" applyAlignment="1">
      <alignment horizontal="center" wrapText="1"/>
    </xf>
    <xf numFmtId="0" fontId="0" fillId="6" borderId="0" xfId="0" applyFill="1" applyBorder="1"/>
    <xf numFmtId="0" fontId="32" fillId="4" borderId="1" xfId="0" applyFont="1" applyFill="1" applyBorder="1" applyAlignment="1">
      <alignment horizontal="center" wrapText="1"/>
    </xf>
    <xf numFmtId="0" fontId="32" fillId="4" borderId="0" xfId="0" applyFont="1" applyFill="1" applyBorder="1" applyAlignment="1">
      <alignment horizontal="center" wrapText="1"/>
    </xf>
    <xf numFmtId="0" fontId="32" fillId="4" borderId="4" xfId="0" applyFont="1" applyFill="1" applyBorder="1" applyAlignment="1">
      <alignment horizontal="center" wrapText="1"/>
    </xf>
    <xf numFmtId="0" fontId="33" fillId="4" borderId="1" xfId="0" applyFont="1" applyFill="1" applyBorder="1" applyAlignment="1">
      <alignment horizontal="center"/>
    </xf>
    <xf numFmtId="0" fontId="33" fillId="4" borderId="0" xfId="0" applyFont="1" applyFill="1" applyBorder="1" applyAlignment="1">
      <alignment horizontal="center"/>
    </xf>
    <xf numFmtId="0" fontId="33" fillId="4" borderId="0" xfId="0" applyFont="1" applyFill="1" applyBorder="1" applyAlignment="1"/>
    <xf numFmtId="0" fontId="33" fillId="4" borderId="4" xfId="0" applyFont="1" applyFill="1" applyBorder="1" applyAlignment="1"/>
    <xf numFmtId="0" fontId="35" fillId="4" borderId="0" xfId="0" applyFont="1" applyFill="1" applyBorder="1" applyAlignment="1">
      <alignment horizontal="center"/>
    </xf>
    <xf numFmtId="0" fontId="25" fillId="4" borderId="0" xfId="0" applyFont="1" applyFill="1" applyBorder="1" applyAlignment="1"/>
    <xf numFmtId="0" fontId="4" fillId="2" borderId="0" xfId="0" applyFont="1" applyFill="1" applyBorder="1" applyAlignment="1">
      <alignment wrapText="1"/>
    </xf>
    <xf numFmtId="0" fontId="0" fillId="0" borderId="0" xfId="0" applyAlignment="1">
      <alignment wrapText="1"/>
    </xf>
    <xf numFmtId="0" fontId="4" fillId="2" borderId="0" xfId="0" applyFont="1" applyFill="1" applyBorder="1" applyAlignment="1">
      <alignment vertical="top" wrapText="1"/>
    </xf>
    <xf numFmtId="0" fontId="0" fillId="0" borderId="0" xfId="0" applyBorder="1" applyAlignment="1">
      <alignment vertical="top" wrapText="1"/>
    </xf>
    <xf numFmtId="0" fontId="5" fillId="2" borderId="0" xfId="0" applyFont="1" applyFill="1" applyBorder="1" applyAlignment="1">
      <alignment horizontal="left" vertical="top" wrapText="1" indent="2"/>
    </xf>
    <xf numFmtId="0" fontId="0" fillId="0" borderId="0" xfId="0" applyBorder="1" applyAlignment="1">
      <alignment horizontal="left" vertical="top" wrapText="1" indent="2"/>
    </xf>
    <xf numFmtId="0" fontId="2" fillId="6" borderId="3" xfId="0" applyFont="1" applyFill="1" applyBorder="1" applyAlignment="1">
      <alignment horizontal="center"/>
    </xf>
    <xf numFmtId="0" fontId="0" fillId="6" borderId="5" xfId="0" applyFill="1" applyBorder="1" applyAlignment="1"/>
    <xf numFmtId="0" fontId="38" fillId="2" borderId="0" xfId="0" applyFont="1" applyFill="1" applyBorder="1" applyAlignment="1">
      <alignment horizontal="left" vertical="top" wrapText="1" indent="1"/>
    </xf>
    <xf numFmtId="0" fontId="5" fillId="2" borderId="52" xfId="0" applyFont="1" applyFill="1" applyBorder="1" applyAlignment="1" applyProtection="1">
      <alignment horizontal="left"/>
      <protection locked="0"/>
    </xf>
    <xf numFmtId="0" fontId="5" fillId="2" borderId="53" xfId="0" applyFont="1" applyFill="1" applyBorder="1" applyAlignment="1" applyProtection="1">
      <alignment horizontal="left"/>
      <protection locked="0"/>
    </xf>
    <xf numFmtId="0" fontId="0" fillId="0" borderId="54" xfId="0" applyBorder="1" applyAlignment="1">
      <alignment horizontal="left"/>
    </xf>
    <xf numFmtId="0" fontId="2" fillId="3" borderId="0" xfId="0" applyFont="1" applyFill="1" applyBorder="1" applyAlignment="1">
      <alignment horizontal="right"/>
    </xf>
    <xf numFmtId="0" fontId="0" fillId="0" borderId="0" xfId="0" applyBorder="1" applyAlignment="1"/>
    <xf numFmtId="0" fontId="27" fillId="4" borderId="7" xfId="0" applyFont="1" applyFill="1" applyBorder="1" applyAlignment="1">
      <alignment horizontal="center" vertical="center"/>
    </xf>
    <xf numFmtId="0" fontId="3" fillId="4" borderId="7" xfId="0" applyFont="1" applyFill="1" applyBorder="1" applyAlignment="1">
      <alignment horizontal="center" vertical="center"/>
    </xf>
    <xf numFmtId="0" fontId="46" fillId="4" borderId="1" xfId="0" applyFont="1" applyFill="1" applyBorder="1" applyAlignment="1">
      <alignment horizontal="center"/>
    </xf>
    <xf numFmtId="0" fontId="46" fillId="4" borderId="0" xfId="0" applyFont="1" applyFill="1" applyBorder="1" applyAlignment="1">
      <alignment horizontal="center"/>
    </xf>
    <xf numFmtId="0" fontId="46" fillId="4" borderId="4" xfId="0" applyFont="1" applyFill="1" applyBorder="1" applyAlignment="1">
      <alignment horizontal="center"/>
    </xf>
    <xf numFmtId="0" fontId="43" fillId="4" borderId="1" xfId="0" applyFont="1" applyFill="1" applyBorder="1" applyAlignment="1">
      <alignment horizontal="center" vertical="center"/>
    </xf>
    <xf numFmtId="0" fontId="43" fillId="4" borderId="0" xfId="0" applyFont="1" applyFill="1" applyBorder="1" applyAlignment="1">
      <alignment horizontal="center" vertical="center"/>
    </xf>
    <xf numFmtId="0" fontId="43" fillId="4" borderId="4" xfId="0" applyFont="1" applyFill="1" applyBorder="1" applyAlignment="1">
      <alignment horizontal="center" vertical="center"/>
    </xf>
    <xf numFmtId="0" fontId="0" fillId="0" borderId="0" xfId="0" applyBorder="1" applyAlignment="1">
      <alignment horizontal="center" vertical="center"/>
    </xf>
    <xf numFmtId="0" fontId="0" fillId="0" borderId="4" xfId="0" applyBorder="1" applyAlignment="1">
      <alignment horizontal="center" vertical="center"/>
    </xf>
    <xf numFmtId="0" fontId="18" fillId="2" borderId="52" xfId="0" applyFont="1" applyFill="1" applyBorder="1" applyAlignment="1">
      <alignment horizontal="center"/>
    </xf>
    <xf numFmtId="0" fontId="18" fillId="2" borderId="53" xfId="0" applyFont="1" applyFill="1" applyBorder="1" applyAlignment="1">
      <alignment horizontal="center"/>
    </xf>
    <xf numFmtId="0" fontId="0" fillId="0" borderId="54" xfId="0" applyBorder="1" applyAlignment="1"/>
    <xf numFmtId="0" fontId="2" fillId="3" borderId="8" xfId="0" applyFont="1" applyFill="1" applyBorder="1" applyAlignment="1" applyProtection="1">
      <alignment horizontal="center" vertical="center"/>
    </xf>
    <xf numFmtId="0" fontId="2" fillId="3" borderId="3" xfId="0" applyFont="1" applyFill="1" applyBorder="1" applyAlignment="1" applyProtection="1">
      <alignment horizontal="center" vertical="center"/>
    </xf>
    <xf numFmtId="0" fontId="2" fillId="3" borderId="5" xfId="0" applyFont="1" applyFill="1" applyBorder="1" applyAlignment="1" applyProtection="1">
      <alignment horizontal="center" vertical="center"/>
    </xf>
    <xf numFmtId="0" fontId="9" fillId="2" borderId="24" xfId="0" applyFont="1" applyFill="1" applyBorder="1" applyAlignment="1" applyProtection="1">
      <alignment horizontal="left" vertical="top" wrapText="1" readingOrder="1"/>
    </xf>
    <xf numFmtId="0" fontId="0" fillId="0" borderId="25" xfId="0" applyBorder="1" applyAlignment="1">
      <alignment vertical="top" wrapText="1" readingOrder="1"/>
    </xf>
    <xf numFmtId="0" fontId="0" fillId="0" borderId="26" xfId="0" applyBorder="1" applyAlignment="1">
      <alignment vertical="top" wrapText="1" readingOrder="1"/>
    </xf>
    <xf numFmtId="0" fontId="0" fillId="0" borderId="27" xfId="0" applyBorder="1" applyAlignment="1">
      <alignment vertical="top" wrapText="1" readingOrder="1"/>
    </xf>
    <xf numFmtId="0" fontId="0" fillId="0" borderId="0" xfId="0" applyAlignment="1">
      <alignment vertical="top" wrapText="1" readingOrder="1"/>
    </xf>
    <xf numFmtId="0" fontId="0" fillId="0" borderId="28" xfId="0" applyBorder="1" applyAlignment="1">
      <alignment vertical="top" wrapText="1" readingOrder="1"/>
    </xf>
    <xf numFmtId="0" fontId="0" fillId="0" borderId="33" xfId="0" applyBorder="1" applyAlignment="1">
      <alignment vertical="top" wrapText="1" readingOrder="1"/>
    </xf>
    <xf numFmtId="0" fontId="0" fillId="0" borderId="31" xfId="0" applyBorder="1" applyAlignment="1">
      <alignment vertical="top" wrapText="1" readingOrder="1"/>
    </xf>
    <xf numFmtId="0" fontId="0" fillId="0" borderId="32" xfId="0" applyBorder="1" applyAlignment="1">
      <alignment vertical="top" wrapText="1" readingOrder="1"/>
    </xf>
    <xf numFmtId="0" fontId="2" fillId="2" borderId="6" xfId="0" applyFont="1" applyFill="1" applyBorder="1" applyAlignment="1" applyProtection="1">
      <alignment horizontal="center" vertical="top" wrapText="1"/>
      <protection locked="0"/>
    </xf>
    <xf numFmtId="0" fontId="2" fillId="2" borderId="7" xfId="0" applyFont="1" applyFill="1" applyBorder="1" applyAlignment="1" applyProtection="1">
      <alignment horizontal="center" vertical="top" wrapText="1"/>
      <protection locked="0"/>
    </xf>
    <xf numFmtId="0" fontId="2" fillId="2" borderId="12" xfId="0" applyFont="1" applyFill="1" applyBorder="1" applyAlignment="1" applyProtection="1">
      <alignment horizontal="center" vertical="top" wrapText="1"/>
      <protection locked="0"/>
    </xf>
    <xf numFmtId="0" fontId="2" fillId="2" borderId="1" xfId="0" applyFont="1" applyFill="1" applyBorder="1" applyAlignment="1" applyProtection="1">
      <alignment horizontal="center" vertical="top" wrapText="1"/>
      <protection locked="0"/>
    </xf>
    <xf numFmtId="0" fontId="2" fillId="2" borderId="0" xfId="0" applyFont="1" applyFill="1" applyBorder="1" applyAlignment="1" applyProtection="1">
      <alignment horizontal="center" vertical="top" wrapText="1"/>
      <protection locked="0"/>
    </xf>
    <xf numFmtId="0" fontId="2" fillId="2" borderId="4" xfId="0" applyFont="1" applyFill="1" applyBorder="1" applyAlignment="1" applyProtection="1">
      <alignment horizontal="center" vertical="top" wrapText="1"/>
      <protection locked="0"/>
    </xf>
    <xf numFmtId="0" fontId="2" fillId="2" borderId="8" xfId="0" applyFont="1" applyFill="1" applyBorder="1" applyAlignment="1" applyProtection="1">
      <alignment horizontal="center" vertical="top" wrapText="1"/>
      <protection locked="0"/>
    </xf>
    <xf numFmtId="0" fontId="2" fillId="2" borderId="3" xfId="0" applyFont="1" applyFill="1" applyBorder="1" applyAlignment="1" applyProtection="1">
      <alignment horizontal="center" vertical="top" wrapText="1"/>
      <protection locked="0"/>
    </xf>
    <xf numFmtId="0" fontId="2" fillId="2" borderId="5" xfId="0" applyFont="1" applyFill="1" applyBorder="1" applyAlignment="1" applyProtection="1">
      <alignment horizontal="center" vertical="top" wrapText="1"/>
      <protection locked="0"/>
    </xf>
    <xf numFmtId="2" fontId="2" fillId="3" borderId="0" xfId="0" quotePrefix="1" applyNumberFormat="1" applyFont="1" applyFill="1" applyBorder="1" applyAlignment="1" applyProtection="1">
      <alignment horizontal="right" vertical="center" wrapText="1" indent="1"/>
    </xf>
    <xf numFmtId="0" fontId="0" fillId="0" borderId="0" xfId="0" applyAlignment="1">
      <alignment horizontal="right" vertical="center" wrapText="1" indent="1"/>
    </xf>
    <xf numFmtId="0" fontId="16" fillId="2" borderId="52" xfId="3" applyFill="1" applyBorder="1" applyAlignment="1" applyProtection="1">
      <alignment horizontal="left"/>
      <protection locked="0"/>
    </xf>
    <xf numFmtId="0" fontId="2" fillId="2" borderId="6" xfId="0" applyFont="1" applyFill="1" applyBorder="1" applyAlignment="1" applyProtection="1">
      <alignment horizontal="center" vertical="top"/>
      <protection locked="0"/>
    </xf>
    <xf numFmtId="0" fontId="2" fillId="2" borderId="7" xfId="0" applyFont="1" applyFill="1" applyBorder="1" applyAlignment="1" applyProtection="1">
      <alignment horizontal="center" vertical="top"/>
      <protection locked="0"/>
    </xf>
    <xf numFmtId="0" fontId="2" fillId="2" borderId="12" xfId="0" applyFont="1" applyFill="1" applyBorder="1" applyAlignment="1" applyProtection="1">
      <alignment horizontal="center" vertical="top"/>
      <protection locked="0"/>
    </xf>
    <xf numFmtId="0" fontId="2" fillId="2" borderId="1" xfId="0" applyFont="1" applyFill="1" applyBorder="1" applyAlignment="1" applyProtection="1">
      <alignment horizontal="center" vertical="top"/>
      <protection locked="0"/>
    </xf>
    <xf numFmtId="0" fontId="2" fillId="2" borderId="0" xfId="0" applyFont="1" applyFill="1" applyBorder="1" applyAlignment="1" applyProtection="1">
      <alignment horizontal="center" vertical="top"/>
      <protection locked="0"/>
    </xf>
    <xf numFmtId="0" fontId="2" fillId="2" borderId="4" xfId="0" applyFont="1" applyFill="1" applyBorder="1" applyAlignment="1" applyProtection="1">
      <alignment horizontal="center" vertical="top"/>
      <protection locked="0"/>
    </xf>
    <xf numFmtId="0" fontId="2" fillId="2" borderId="8" xfId="0" applyFont="1" applyFill="1" applyBorder="1" applyAlignment="1" applyProtection="1">
      <alignment horizontal="center" vertical="top"/>
      <protection locked="0"/>
    </xf>
    <xf numFmtId="0" fontId="2" fillId="2" borderId="3" xfId="0" applyFont="1" applyFill="1" applyBorder="1" applyAlignment="1" applyProtection="1">
      <alignment horizontal="center" vertical="top"/>
      <protection locked="0"/>
    </xf>
    <xf numFmtId="0" fontId="2" fillId="2" borderId="5" xfId="0" applyFont="1" applyFill="1" applyBorder="1" applyAlignment="1" applyProtection="1">
      <alignment horizontal="center" vertical="top"/>
      <protection locked="0"/>
    </xf>
    <xf numFmtId="0" fontId="48" fillId="4" borderId="1" xfId="0" applyFont="1" applyFill="1" applyBorder="1" applyAlignment="1">
      <alignment horizontal="center"/>
    </xf>
    <xf numFmtId="0" fontId="48" fillId="4" borderId="0" xfId="0" applyFont="1" applyFill="1" applyBorder="1" applyAlignment="1">
      <alignment horizontal="center"/>
    </xf>
    <xf numFmtId="0" fontId="48" fillId="4" borderId="4" xfId="0" applyFont="1" applyFill="1" applyBorder="1" applyAlignment="1">
      <alignment horizontal="center"/>
    </xf>
    <xf numFmtId="0" fontId="18" fillId="8" borderId="18" xfId="0" applyFont="1" applyFill="1" applyBorder="1" applyAlignment="1" applyProtection="1">
      <alignment horizontal="center" vertical="center"/>
    </xf>
    <xf numFmtId="0" fontId="18" fillId="8" borderId="19" xfId="0" applyFont="1" applyFill="1" applyBorder="1" applyAlignment="1" applyProtection="1">
      <alignment horizontal="center" vertical="center"/>
    </xf>
    <xf numFmtId="0" fontId="18" fillId="8" borderId="20" xfId="0" applyFont="1" applyFill="1" applyBorder="1" applyAlignment="1" applyProtection="1">
      <alignment horizontal="center" vertical="center"/>
    </xf>
    <xf numFmtId="0" fontId="18" fillId="9" borderId="18" xfId="0" applyFont="1" applyFill="1" applyBorder="1" applyAlignment="1">
      <alignment horizontal="center" vertical="center"/>
    </xf>
    <xf numFmtId="0" fontId="18" fillId="9" borderId="19" xfId="0" applyFont="1" applyFill="1" applyBorder="1" applyAlignment="1">
      <alignment horizontal="center" vertical="center"/>
    </xf>
    <xf numFmtId="0" fontId="18" fillId="9" borderId="20" xfId="0" applyFont="1" applyFill="1" applyBorder="1" applyAlignment="1">
      <alignment horizontal="center" vertical="center"/>
    </xf>
    <xf numFmtId="0" fontId="2" fillId="3" borderId="0" xfId="0" applyFont="1" applyFill="1" applyBorder="1" applyAlignment="1" applyProtection="1">
      <alignment vertical="center"/>
    </xf>
    <xf numFmtId="0" fontId="0" fillId="0" borderId="0" xfId="0" applyAlignment="1"/>
    <xf numFmtId="0" fontId="2" fillId="3" borderId="0" xfId="0" applyFont="1" applyFill="1" applyBorder="1" applyAlignment="1" applyProtection="1">
      <alignment horizontal="left" vertical="top" wrapText="1"/>
    </xf>
    <xf numFmtId="0" fontId="9" fillId="3" borderId="0" xfId="0" applyFont="1" applyFill="1" applyBorder="1" applyAlignment="1" applyProtection="1">
      <alignment horizontal="left" vertical="top" wrapText="1"/>
    </xf>
    <xf numFmtId="0" fontId="0" fillId="0" borderId="0" xfId="0" applyAlignment="1">
      <alignment horizontal="left" vertical="top" wrapText="1"/>
    </xf>
    <xf numFmtId="0" fontId="2" fillId="2" borderId="0" xfId="0" applyFont="1" applyFill="1" applyBorder="1" applyAlignment="1">
      <alignment horizontal="center" vertical="center"/>
    </xf>
    <xf numFmtId="0" fontId="54" fillId="12" borderId="62" xfId="0" applyFont="1" applyFill="1" applyBorder="1" applyAlignment="1" applyProtection="1">
      <alignment horizontal="center" vertical="top" textRotation="255" wrapText="1"/>
    </xf>
    <xf numFmtId="0" fontId="0" fillId="0" borderId="60" xfId="0" applyBorder="1" applyAlignment="1">
      <alignment horizontal="center" vertical="top" textRotation="255" wrapText="1"/>
    </xf>
    <xf numFmtId="0" fontId="0" fillId="0" borderId="63" xfId="0" applyBorder="1" applyAlignment="1">
      <alignment horizontal="center" vertical="top" textRotation="255" wrapText="1"/>
    </xf>
    <xf numFmtId="0" fontId="54" fillId="10" borderId="62" xfId="0" applyFont="1" applyFill="1" applyBorder="1" applyAlignment="1" applyProtection="1">
      <alignment horizontal="center" vertical="top" textRotation="255" wrapText="1"/>
    </xf>
    <xf numFmtId="0" fontId="0" fillId="10" borderId="60" xfId="0" applyFill="1" applyBorder="1" applyAlignment="1">
      <alignment horizontal="center" vertical="top" textRotation="255" wrapText="1"/>
    </xf>
    <xf numFmtId="0" fontId="0" fillId="10" borderId="61" xfId="0" applyFill="1" applyBorder="1" applyAlignment="1">
      <alignment horizontal="center" vertical="top" textRotation="255" wrapText="1"/>
    </xf>
    <xf numFmtId="0" fontId="9" fillId="11" borderId="6" xfId="0" applyFont="1" applyFill="1" applyBorder="1" applyAlignment="1" applyProtection="1">
      <alignment vertical="top" wrapText="1"/>
      <protection locked="0"/>
    </xf>
    <xf numFmtId="0" fontId="0" fillId="0" borderId="30" xfId="0" applyBorder="1" applyAlignment="1"/>
    <xf numFmtId="0" fontId="0" fillId="0" borderId="1" xfId="0" applyBorder="1" applyAlignment="1"/>
    <xf numFmtId="0" fontId="0" fillId="0" borderId="28" xfId="0" applyBorder="1" applyAlignment="1"/>
    <xf numFmtId="0" fontId="0" fillId="0" borderId="6" xfId="0" applyBorder="1" applyAlignment="1">
      <alignment vertical="top" wrapText="1"/>
    </xf>
    <xf numFmtId="0" fontId="0" fillId="0" borderId="30" xfId="0" applyBorder="1" applyAlignment="1">
      <alignment vertical="top"/>
    </xf>
    <xf numFmtId="0" fontId="0" fillId="0" borderId="1" xfId="0" applyBorder="1" applyAlignment="1">
      <alignment vertical="top"/>
    </xf>
    <xf numFmtId="0" fontId="0" fillId="0" borderId="28" xfId="0" applyBorder="1" applyAlignment="1">
      <alignment vertical="top"/>
    </xf>
    <xf numFmtId="0" fontId="0" fillId="0" borderId="8" xfId="0" applyBorder="1" applyAlignment="1">
      <alignment vertical="top"/>
    </xf>
    <xf numFmtId="0" fontId="0" fillId="0" borderId="59" xfId="0" applyBorder="1" applyAlignment="1">
      <alignment vertical="top"/>
    </xf>
    <xf numFmtId="0" fontId="52" fillId="13" borderId="7" xfId="3" applyFont="1" applyFill="1" applyBorder="1" applyAlignment="1" applyProtection="1">
      <alignment horizontal="center" vertical="center"/>
    </xf>
    <xf numFmtId="0" fontId="52" fillId="0" borderId="30" xfId="3" applyFont="1" applyBorder="1" applyAlignment="1" applyProtection="1">
      <alignment horizontal="center" vertical="center"/>
    </xf>
    <xf numFmtId="0" fontId="0" fillId="0" borderId="12" xfId="0" applyBorder="1" applyAlignment="1">
      <alignment wrapText="1"/>
    </xf>
    <xf numFmtId="0" fontId="0" fillId="0" borderId="1" xfId="0" applyBorder="1" applyAlignment="1">
      <alignment wrapText="1"/>
    </xf>
    <xf numFmtId="0" fontId="0" fillId="0" borderId="4" xfId="0" applyBorder="1" applyAlignment="1">
      <alignment wrapText="1"/>
    </xf>
    <xf numFmtId="0" fontId="0" fillId="0" borderId="8" xfId="0" applyBorder="1" applyAlignment="1">
      <alignment wrapText="1"/>
    </xf>
    <xf numFmtId="0" fontId="0" fillId="0" borderId="5" xfId="0" applyBorder="1" applyAlignment="1">
      <alignment wrapText="1"/>
    </xf>
    <xf numFmtId="0" fontId="54" fillId="10" borderId="41" xfId="0" applyFont="1" applyFill="1" applyBorder="1" applyAlignment="1" applyProtection="1">
      <alignment horizontal="center" vertical="top" textRotation="255" wrapText="1"/>
    </xf>
    <xf numFmtId="0" fontId="0" fillId="10" borderId="41" xfId="0" applyFill="1" applyBorder="1" applyAlignment="1">
      <alignment horizontal="center" vertical="top" textRotation="255" wrapText="1"/>
    </xf>
    <xf numFmtId="0" fontId="0" fillId="10" borderId="57" xfId="0" applyFill="1" applyBorder="1" applyAlignment="1">
      <alignment horizontal="center" vertical="top" textRotation="255" wrapText="1"/>
    </xf>
    <xf numFmtId="0" fontId="18" fillId="4" borderId="27" xfId="0" applyFont="1" applyFill="1" applyBorder="1" applyAlignment="1" applyProtection="1">
      <alignment vertical="center" wrapText="1"/>
    </xf>
    <xf numFmtId="0" fontId="0" fillId="0" borderId="0" xfId="0" applyBorder="1" applyAlignment="1">
      <alignment vertical="center" wrapText="1"/>
    </xf>
    <xf numFmtId="0" fontId="0" fillId="0" borderId="28" xfId="0" applyBorder="1" applyAlignment="1">
      <alignment vertical="center" wrapText="1"/>
    </xf>
    <xf numFmtId="0" fontId="0" fillId="0" borderId="27" xfId="0" applyBorder="1" applyAlignment="1">
      <alignment vertical="center" wrapText="1"/>
    </xf>
    <xf numFmtId="0" fontId="18" fillId="4" borderId="27" xfId="0" applyFont="1" applyFill="1" applyBorder="1" applyAlignment="1" applyProtection="1">
      <alignment vertical="center"/>
    </xf>
    <xf numFmtId="0" fontId="0" fillId="0" borderId="0" xfId="0" applyBorder="1" applyAlignment="1">
      <alignment vertical="center"/>
    </xf>
    <xf numFmtId="0" fontId="0" fillId="0" borderId="28" xfId="0" applyBorder="1" applyAlignment="1">
      <alignment vertical="center"/>
    </xf>
    <xf numFmtId="3" fontId="9" fillId="2" borderId="0" xfId="0" applyNumberFormat="1" applyFont="1" applyFill="1" applyBorder="1" applyAlignment="1">
      <alignment horizontal="right" vertical="center"/>
    </xf>
    <xf numFmtId="0" fontId="6" fillId="0" borderId="0" xfId="0" applyFont="1" applyBorder="1" applyAlignment="1">
      <alignment horizontal="right" vertical="center"/>
    </xf>
    <xf numFmtId="0" fontId="18" fillId="2" borderId="7" xfId="0" applyFont="1" applyFill="1" applyBorder="1" applyAlignment="1">
      <alignment horizontal="center" vertical="center"/>
    </xf>
    <xf numFmtId="0" fontId="54" fillId="12" borderId="60" xfId="0" applyFont="1" applyFill="1" applyBorder="1" applyAlignment="1" applyProtection="1">
      <alignment horizontal="center" vertical="top" textRotation="255" wrapText="1"/>
    </xf>
    <xf numFmtId="0" fontId="0" fillId="0" borderId="61" xfId="0" applyBorder="1" applyAlignment="1">
      <alignment horizontal="center" vertical="top" textRotation="255" wrapText="1"/>
    </xf>
    <xf numFmtId="0" fontId="52" fillId="0" borderId="12" xfId="3" applyFont="1" applyBorder="1" applyAlignment="1" applyProtection="1">
      <alignment horizontal="center" vertical="center"/>
    </xf>
    <xf numFmtId="0" fontId="54" fillId="12" borderId="40" xfId="0" applyFont="1" applyFill="1" applyBorder="1" applyAlignment="1" applyProtection="1">
      <alignment horizontal="center" vertical="top" textRotation="255" wrapText="1"/>
    </xf>
    <xf numFmtId="0" fontId="0" fillId="0" borderId="41" xfId="0" applyBorder="1" applyAlignment="1">
      <alignment horizontal="center" vertical="top" textRotation="255" wrapText="1"/>
    </xf>
    <xf numFmtId="0" fontId="0" fillId="0" borderId="57" xfId="0" applyBorder="1" applyAlignment="1"/>
    <xf numFmtId="0" fontId="0" fillId="11" borderId="6" xfId="0" applyFill="1" applyBorder="1" applyAlignment="1">
      <alignment vertical="top" wrapText="1"/>
    </xf>
    <xf numFmtId="0" fontId="0" fillId="0" borderId="12" xfId="0" applyBorder="1" applyAlignment="1">
      <alignment vertical="top" wrapText="1"/>
    </xf>
    <xf numFmtId="0" fontId="0" fillId="0" borderId="1" xfId="0" applyBorder="1" applyAlignment="1">
      <alignment vertical="top" wrapText="1"/>
    </xf>
    <xf numFmtId="0" fontId="0" fillId="0" borderId="4" xfId="0" applyBorder="1" applyAlignment="1">
      <alignment vertical="top" wrapText="1"/>
    </xf>
    <xf numFmtId="0" fontId="0" fillId="0" borderId="8" xfId="0" applyBorder="1" applyAlignment="1">
      <alignment vertical="top" wrapText="1"/>
    </xf>
    <xf numFmtId="0" fontId="0" fillId="0" borderId="5" xfId="0" applyBorder="1" applyAlignment="1">
      <alignment vertical="top" wrapText="1"/>
    </xf>
    <xf numFmtId="0" fontId="54" fillId="10" borderId="40" xfId="0" applyFont="1" applyFill="1" applyBorder="1" applyAlignment="1" applyProtection="1">
      <alignment horizontal="center" vertical="top" textRotation="255" wrapText="1"/>
    </xf>
    <xf numFmtId="0" fontId="0" fillId="0" borderId="58" xfId="0" applyBorder="1" applyAlignment="1">
      <alignment horizontal="center" vertical="top" textRotation="255" wrapText="1"/>
    </xf>
    <xf numFmtId="0" fontId="0" fillId="11" borderId="1" xfId="0" applyFill="1" applyBorder="1" applyAlignment="1">
      <alignment vertical="top" wrapText="1"/>
    </xf>
    <xf numFmtId="0" fontId="0" fillId="11" borderId="8" xfId="0" applyFill="1" applyBorder="1" applyAlignment="1">
      <alignment vertical="top" wrapText="1"/>
    </xf>
    <xf numFmtId="0" fontId="0" fillId="0" borderId="58" xfId="0" applyBorder="1" applyAlignment="1"/>
    <xf numFmtId="0" fontId="0" fillId="0" borderId="13" xfId="0" applyBorder="1" applyAlignment="1">
      <alignment vertical="top" wrapText="1"/>
    </xf>
    <xf numFmtId="0" fontId="0" fillId="0" borderId="14" xfId="0" applyBorder="1" applyAlignment="1">
      <alignment vertical="top" wrapText="1"/>
    </xf>
    <xf numFmtId="0" fontId="0" fillId="0" borderId="15" xfId="0" applyBorder="1" applyAlignment="1">
      <alignment vertical="top" wrapText="1"/>
    </xf>
    <xf numFmtId="0" fontId="0" fillId="0" borderId="57" xfId="0" applyBorder="1" applyAlignment="1">
      <alignment horizontal="center" vertical="top" textRotation="255" wrapText="1"/>
    </xf>
    <xf numFmtId="0" fontId="54" fillId="10" borderId="55" xfId="0" applyFont="1" applyFill="1" applyBorder="1" applyAlignment="1" applyProtection="1">
      <alignment horizontal="center" vertical="top" textRotation="255" wrapText="1"/>
    </xf>
    <xf numFmtId="0" fontId="0" fillId="10" borderId="55" xfId="0" applyFill="1" applyBorder="1" applyAlignment="1">
      <alignment horizontal="center" vertical="top" textRotation="255" wrapText="1"/>
    </xf>
    <xf numFmtId="0" fontId="0" fillId="10" borderId="56" xfId="0" applyFill="1" applyBorder="1" applyAlignment="1">
      <alignment horizontal="center" vertical="top" textRotation="255" wrapText="1"/>
    </xf>
    <xf numFmtId="0" fontId="0" fillId="0" borderId="0" xfId="0" applyFill="1" applyBorder="1" applyAlignment="1">
      <alignment horizontal="center" wrapText="1"/>
    </xf>
    <xf numFmtId="0" fontId="3" fillId="4" borderId="64" xfId="0" applyFont="1" applyFill="1" applyBorder="1" applyAlignment="1" applyProtection="1">
      <alignment horizontal="center"/>
    </xf>
    <xf numFmtId="0" fontId="3" fillId="4" borderId="53" xfId="0" applyFont="1" applyFill="1" applyBorder="1" applyAlignment="1" applyProtection="1">
      <alignment horizontal="center"/>
    </xf>
    <xf numFmtId="0" fontId="3" fillId="4" borderId="54" xfId="0" applyFont="1" applyFill="1" applyBorder="1" applyAlignment="1" applyProtection="1">
      <alignment horizontal="center"/>
    </xf>
    <xf numFmtId="0" fontId="3" fillId="4" borderId="52" xfId="0" applyFont="1" applyFill="1" applyBorder="1" applyAlignment="1" applyProtection="1">
      <alignment horizontal="center"/>
    </xf>
    <xf numFmtId="0" fontId="18" fillId="14" borderId="1" xfId="0" applyFont="1" applyFill="1" applyBorder="1" applyAlignment="1">
      <alignment horizontal="center"/>
    </xf>
    <xf numFmtId="0" fontId="18" fillId="14" borderId="0" xfId="0" applyFont="1" applyFill="1" applyBorder="1" applyAlignment="1">
      <alignment horizontal="center"/>
    </xf>
    <xf numFmtId="0" fontId="18" fillId="14" borderId="4" xfId="0" applyFont="1" applyFill="1" applyBorder="1" applyAlignment="1">
      <alignment horizontal="center"/>
    </xf>
    <xf numFmtId="3" fontId="3" fillId="4" borderId="52" xfId="0" applyNumberFormat="1" applyFont="1" applyFill="1" applyBorder="1" applyAlignment="1" applyProtection="1">
      <alignment horizontal="center"/>
    </xf>
    <xf numFmtId="3" fontId="3" fillId="4" borderId="53" xfId="0" applyNumberFormat="1" applyFont="1" applyFill="1" applyBorder="1" applyAlignment="1" applyProtection="1">
      <alignment horizontal="center"/>
    </xf>
    <xf numFmtId="3" fontId="3" fillId="4" borderId="54" xfId="0" applyNumberFormat="1" applyFont="1" applyFill="1" applyBorder="1" applyAlignment="1" applyProtection="1">
      <alignment horizontal="center"/>
    </xf>
    <xf numFmtId="0" fontId="3" fillId="4" borderId="52" xfId="0" applyFont="1" applyFill="1" applyBorder="1" applyAlignment="1">
      <alignment horizontal="center"/>
    </xf>
    <xf numFmtId="0" fontId="3" fillId="4" borderId="53" xfId="0" applyFont="1" applyFill="1" applyBorder="1" applyAlignment="1">
      <alignment horizontal="center"/>
    </xf>
    <xf numFmtId="0" fontId="3" fillId="4" borderId="54" xfId="0" applyFont="1" applyFill="1" applyBorder="1" applyAlignment="1">
      <alignment horizontal="center"/>
    </xf>
  </cellXfs>
  <cellStyles count="6">
    <cellStyle name="Comma" xfId="1" builtinId="3"/>
    <cellStyle name="Currency" xfId="2" builtinId="4"/>
    <cellStyle name="Hyperlink" xfId="3" builtinId="8"/>
    <cellStyle name="Normal" xfId="0" builtinId="0"/>
    <cellStyle name="Normal_DATA" xfId="4"/>
    <cellStyle name="Percent" xfId="5" builtinId="5"/>
  </cellStyles>
  <dxfs count="52">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ont>
        <b/>
        <i val="0"/>
        <condense val="0"/>
        <extend val="0"/>
        <color indexed="10"/>
      </font>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3"/>
        </patternFill>
      </fill>
    </dxf>
    <dxf>
      <fill>
        <patternFill>
          <bgColor indexed="45"/>
        </patternFill>
      </fill>
    </dxf>
    <dxf>
      <fill>
        <patternFill>
          <bgColor indexed="55"/>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ont>
        <b/>
        <i val="0"/>
        <condense val="0"/>
        <extend val="0"/>
        <u/>
        <color indexed="10"/>
      </font>
    </dxf>
  </dxfs>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2</xdr:col>
      <xdr:colOff>752475</xdr:colOff>
      <xdr:row>5</xdr:row>
      <xdr:rowOff>104775</xdr:rowOff>
    </xdr:to>
    <xdr:pic>
      <xdr:nvPicPr>
        <xdr:cNvPr id="6145" name="Picture 92" descr="DCLG logo"/>
        <xdr:cNvPicPr>
          <a:picLocks noChangeAspect="1" noChangeArrowheads="1"/>
        </xdr:cNvPicPr>
      </xdr:nvPicPr>
      <xdr:blipFill>
        <a:blip xmlns:r="http://schemas.openxmlformats.org/officeDocument/2006/relationships" r:embed="rId1" cstate="print"/>
        <a:srcRect/>
        <a:stretch>
          <a:fillRect/>
        </a:stretch>
      </xdr:blipFill>
      <xdr:spPr bwMode="auto">
        <a:xfrm>
          <a:off x="76200" y="114300"/>
          <a:ext cx="1638300" cy="9429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1181100</xdr:colOff>
      <xdr:row>13</xdr:row>
      <xdr:rowOff>133350</xdr:rowOff>
    </xdr:from>
    <xdr:to>
      <xdr:col>4</xdr:col>
      <xdr:colOff>57150</xdr:colOff>
      <xdr:row>13</xdr:row>
      <xdr:rowOff>133350</xdr:rowOff>
    </xdr:to>
    <xdr:sp macro="" textlink="">
      <xdr:nvSpPr>
        <xdr:cNvPr id="4099" name="Line 1"/>
        <xdr:cNvSpPr>
          <a:spLocks noChangeShapeType="1"/>
        </xdr:cNvSpPr>
      </xdr:nvSpPr>
      <xdr:spPr bwMode="auto">
        <a:xfrm>
          <a:off x="5172075" y="3267075"/>
          <a:ext cx="590550" cy="0"/>
        </a:xfrm>
        <a:prstGeom prst="line">
          <a:avLst/>
        </a:prstGeom>
        <a:noFill/>
        <a:ln w="9525">
          <a:solidFill>
            <a:srgbClr val="000000"/>
          </a:solidFill>
          <a:round/>
          <a:headEnd/>
          <a:tailEnd type="triangle" w="med" len="med"/>
        </a:ln>
      </xdr:spPr>
    </xdr:sp>
    <xdr:clientData/>
  </xdr:twoCellAnchor>
  <xdr:twoCellAnchor editAs="oneCell">
    <xdr:from>
      <xdr:col>0</xdr:col>
      <xdr:colOff>0</xdr:colOff>
      <xdr:row>0</xdr:row>
      <xdr:rowOff>0</xdr:rowOff>
    </xdr:from>
    <xdr:to>
      <xdr:col>1</xdr:col>
      <xdr:colOff>1657350</xdr:colOff>
      <xdr:row>4</xdr:row>
      <xdr:rowOff>28575</xdr:rowOff>
    </xdr:to>
    <xdr:pic>
      <xdr:nvPicPr>
        <xdr:cNvPr id="4100" name="Picture 64" descr="DCLG logo"/>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1895475" cy="10953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50</xdr:row>
      <xdr:rowOff>9525</xdr:rowOff>
    </xdr:from>
    <xdr:to>
      <xdr:col>0</xdr:col>
      <xdr:colOff>152400</xdr:colOff>
      <xdr:row>61</xdr:row>
      <xdr:rowOff>0</xdr:rowOff>
    </xdr:to>
    <xdr:sp macro="" textlink="">
      <xdr:nvSpPr>
        <xdr:cNvPr id="7169" name="WordArt 1"/>
        <xdr:cNvSpPr>
          <a:spLocks noChangeArrowheads="1" noChangeShapeType="1" noTextEdit="1"/>
        </xdr:cNvSpPr>
      </xdr:nvSpPr>
      <xdr:spPr bwMode="auto">
        <a:xfrm rot="5400000">
          <a:off x="-1190625" y="13125450"/>
          <a:ext cx="2533650" cy="152400"/>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900" kern="10" spc="0">
              <a:ln>
                <a:noFill/>
              </a:ln>
              <a:solidFill>
                <a:srgbClr val="FFFFFF"/>
              </a:solidFill>
              <a:effectLst/>
              <a:latin typeface="Arial Black"/>
            </a:rPr>
            <a:t> LINES 9 TO 11 </a:t>
          </a:r>
        </a:p>
      </xdr:txBody>
    </xdr:sp>
    <xdr:clientData/>
  </xdr:twoCellAnchor>
  <xdr:twoCellAnchor>
    <xdr:from>
      <xdr:col>0</xdr:col>
      <xdr:colOff>38100</xdr:colOff>
      <xdr:row>9</xdr:row>
      <xdr:rowOff>0</xdr:rowOff>
    </xdr:from>
    <xdr:to>
      <xdr:col>0</xdr:col>
      <xdr:colOff>161925</xdr:colOff>
      <xdr:row>20</xdr:row>
      <xdr:rowOff>9525</xdr:rowOff>
    </xdr:to>
    <xdr:sp macro="" textlink="">
      <xdr:nvSpPr>
        <xdr:cNvPr id="7170" name="WordArt 2"/>
        <xdr:cNvSpPr>
          <a:spLocks noChangeArrowheads="1" noChangeShapeType="1" noTextEdit="1"/>
        </xdr:cNvSpPr>
      </xdr:nvSpPr>
      <xdr:spPr bwMode="auto">
        <a:xfrm rot="5400000">
          <a:off x="-1209675" y="3514725"/>
          <a:ext cx="2619375" cy="123825"/>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1000" kern="10" spc="0">
              <a:ln>
                <a:noFill/>
              </a:ln>
              <a:solidFill>
                <a:srgbClr val="FFFFFF"/>
              </a:solidFill>
              <a:effectLst/>
              <a:latin typeface="Arial Black"/>
            </a:rPr>
            <a:t> LINE 9       </a:t>
          </a:r>
        </a:p>
      </xdr:txBody>
    </xdr:sp>
    <xdr:clientData/>
  </xdr:twoCellAnchor>
  <xdr:twoCellAnchor>
    <xdr:from>
      <xdr:col>0</xdr:col>
      <xdr:colOff>38100</xdr:colOff>
      <xdr:row>20</xdr:row>
      <xdr:rowOff>0</xdr:rowOff>
    </xdr:from>
    <xdr:to>
      <xdr:col>0</xdr:col>
      <xdr:colOff>161925</xdr:colOff>
      <xdr:row>31</xdr:row>
      <xdr:rowOff>0</xdr:rowOff>
    </xdr:to>
    <xdr:sp macro="" textlink="">
      <xdr:nvSpPr>
        <xdr:cNvPr id="7171" name="WordArt 3"/>
        <xdr:cNvSpPr>
          <a:spLocks noChangeArrowheads="1" noChangeShapeType="1" noTextEdit="1"/>
        </xdr:cNvSpPr>
      </xdr:nvSpPr>
      <xdr:spPr bwMode="auto">
        <a:xfrm rot="5400000">
          <a:off x="-1204912" y="6119812"/>
          <a:ext cx="2609850" cy="123825"/>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1000" kern="10" spc="0">
              <a:ln>
                <a:noFill/>
              </a:ln>
              <a:solidFill>
                <a:srgbClr val="FFFFFF"/>
              </a:solidFill>
              <a:effectLst/>
              <a:latin typeface="Arial Black"/>
            </a:rPr>
            <a:t> LINE 10       </a:t>
          </a:r>
        </a:p>
      </xdr:txBody>
    </xdr:sp>
    <xdr:clientData/>
  </xdr:twoCellAnchor>
  <xdr:twoCellAnchor>
    <xdr:from>
      <xdr:col>0</xdr:col>
      <xdr:colOff>57150</xdr:colOff>
      <xdr:row>31</xdr:row>
      <xdr:rowOff>19050</xdr:rowOff>
    </xdr:from>
    <xdr:to>
      <xdr:col>0</xdr:col>
      <xdr:colOff>180975</xdr:colOff>
      <xdr:row>41</xdr:row>
      <xdr:rowOff>180975</xdr:rowOff>
    </xdr:to>
    <xdr:sp macro="" textlink="">
      <xdr:nvSpPr>
        <xdr:cNvPr id="7172" name="WordArt 4"/>
        <xdr:cNvSpPr>
          <a:spLocks noChangeArrowheads="1" noChangeShapeType="1" noTextEdit="1"/>
        </xdr:cNvSpPr>
      </xdr:nvSpPr>
      <xdr:spPr bwMode="auto">
        <a:xfrm rot="5400000">
          <a:off x="-1133475" y="8696325"/>
          <a:ext cx="2505075" cy="123825"/>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800" kern="10" spc="0">
              <a:ln>
                <a:noFill/>
              </a:ln>
              <a:solidFill>
                <a:srgbClr val="FFFFFF"/>
              </a:solidFill>
              <a:effectLst/>
              <a:latin typeface="Arial Black"/>
            </a:rPr>
            <a:t> LINE 11       </a:t>
          </a:r>
        </a:p>
      </xdr:txBody>
    </xdr:sp>
    <xdr:clientData/>
  </xdr:twoCellAnchor>
  <xdr:twoCellAnchor>
    <xdr:from>
      <xdr:col>0</xdr:col>
      <xdr:colOff>0</xdr:colOff>
      <xdr:row>61</xdr:row>
      <xdr:rowOff>9525</xdr:rowOff>
    </xdr:from>
    <xdr:to>
      <xdr:col>0</xdr:col>
      <xdr:colOff>152400</xdr:colOff>
      <xdr:row>71</xdr:row>
      <xdr:rowOff>0</xdr:rowOff>
    </xdr:to>
    <xdr:sp macro="" textlink="">
      <xdr:nvSpPr>
        <xdr:cNvPr id="7176" name="WordArt 8"/>
        <xdr:cNvSpPr>
          <a:spLocks noChangeArrowheads="1" noChangeShapeType="1" noTextEdit="1"/>
        </xdr:cNvSpPr>
      </xdr:nvSpPr>
      <xdr:spPr bwMode="auto">
        <a:xfrm rot="5400000">
          <a:off x="-1095375" y="15573375"/>
          <a:ext cx="2343150" cy="152400"/>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900" kern="10" spc="0">
              <a:ln>
                <a:noFill/>
              </a:ln>
              <a:solidFill>
                <a:srgbClr val="FFFFFF"/>
              </a:solidFill>
              <a:effectLst/>
              <a:latin typeface="Arial Black"/>
            </a:rPr>
            <a:t> LINES 8 AND 14 </a:t>
          </a:r>
        </a:p>
      </xdr:txBody>
    </xdr:sp>
    <xdr:clientData/>
  </xdr:twoCellAnchor>
  <xdr:twoCellAnchor>
    <xdr:from>
      <xdr:col>0</xdr:col>
      <xdr:colOff>38100</xdr:colOff>
      <xdr:row>72</xdr:row>
      <xdr:rowOff>0</xdr:rowOff>
    </xdr:from>
    <xdr:to>
      <xdr:col>0</xdr:col>
      <xdr:colOff>161925</xdr:colOff>
      <xdr:row>83</xdr:row>
      <xdr:rowOff>0</xdr:rowOff>
    </xdr:to>
    <xdr:sp macro="" textlink="">
      <xdr:nvSpPr>
        <xdr:cNvPr id="7177" name="WordArt 9"/>
        <xdr:cNvSpPr>
          <a:spLocks noChangeArrowheads="1" noChangeShapeType="1" noTextEdit="1"/>
        </xdr:cNvSpPr>
      </xdr:nvSpPr>
      <xdr:spPr bwMode="auto">
        <a:xfrm rot="5400000">
          <a:off x="-1223962" y="18283237"/>
          <a:ext cx="2647950" cy="123825"/>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1000" kern="10" spc="0">
              <a:ln>
                <a:noFill/>
              </a:ln>
              <a:solidFill>
                <a:srgbClr val="FFFFFF"/>
              </a:solidFill>
              <a:effectLst/>
              <a:latin typeface="Arial Black"/>
            </a:rPr>
            <a:t> LINE 8       </a:t>
          </a:r>
        </a:p>
      </xdr:txBody>
    </xdr:sp>
    <xdr:clientData/>
  </xdr:twoCellAnchor>
  <xdr:twoCellAnchor>
    <xdr:from>
      <xdr:col>0</xdr:col>
      <xdr:colOff>38100</xdr:colOff>
      <xdr:row>83</xdr:row>
      <xdr:rowOff>19050</xdr:rowOff>
    </xdr:from>
    <xdr:to>
      <xdr:col>0</xdr:col>
      <xdr:colOff>180975</xdr:colOff>
      <xdr:row>94</xdr:row>
      <xdr:rowOff>0</xdr:rowOff>
    </xdr:to>
    <xdr:sp macro="" textlink="">
      <xdr:nvSpPr>
        <xdr:cNvPr id="7178" name="WordArt 10"/>
        <xdr:cNvSpPr>
          <a:spLocks noChangeArrowheads="1" noChangeShapeType="1" noTextEdit="1"/>
        </xdr:cNvSpPr>
      </xdr:nvSpPr>
      <xdr:spPr bwMode="auto">
        <a:xfrm rot="5400000">
          <a:off x="-1285875" y="21012150"/>
          <a:ext cx="2790825" cy="142875"/>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800" kern="10" spc="0">
              <a:ln>
                <a:noFill/>
              </a:ln>
              <a:solidFill>
                <a:srgbClr val="FFFFFF"/>
              </a:solidFill>
              <a:effectLst/>
              <a:latin typeface="Arial Black"/>
            </a:rPr>
            <a:t> LINE 12       </a:t>
          </a:r>
        </a:p>
      </xdr:txBody>
    </xdr:sp>
    <xdr:clientData/>
  </xdr:twoCellAnchor>
  <xdr:twoCellAnchor>
    <xdr:from>
      <xdr:col>0</xdr:col>
      <xdr:colOff>0</xdr:colOff>
      <xdr:row>96</xdr:row>
      <xdr:rowOff>9525</xdr:rowOff>
    </xdr:from>
    <xdr:to>
      <xdr:col>0</xdr:col>
      <xdr:colOff>152400</xdr:colOff>
      <xdr:row>107</xdr:row>
      <xdr:rowOff>0</xdr:rowOff>
    </xdr:to>
    <xdr:sp macro="" textlink="">
      <xdr:nvSpPr>
        <xdr:cNvPr id="7179" name="WordArt 11"/>
        <xdr:cNvSpPr>
          <a:spLocks noChangeArrowheads="1" noChangeShapeType="1" noTextEdit="1"/>
        </xdr:cNvSpPr>
      </xdr:nvSpPr>
      <xdr:spPr bwMode="auto">
        <a:xfrm rot="5400000">
          <a:off x="-1195388" y="24379238"/>
          <a:ext cx="2543175" cy="152400"/>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900" kern="10" spc="0">
              <a:ln>
                <a:noFill/>
              </a:ln>
              <a:solidFill>
                <a:srgbClr val="FFFFFF"/>
              </a:solidFill>
              <a:effectLst/>
              <a:latin typeface="Arial Black"/>
            </a:rPr>
            <a:t> LINES 2 AND 8 </a:t>
          </a:r>
        </a:p>
      </xdr:txBody>
    </xdr:sp>
    <xdr:clientData/>
  </xdr:twoCellAnchor>
  <xdr:twoCellAnchor>
    <xdr:from>
      <xdr:col>0</xdr:col>
      <xdr:colOff>38100</xdr:colOff>
      <xdr:row>107</xdr:row>
      <xdr:rowOff>0</xdr:rowOff>
    </xdr:from>
    <xdr:to>
      <xdr:col>0</xdr:col>
      <xdr:colOff>161925</xdr:colOff>
      <xdr:row>118</xdr:row>
      <xdr:rowOff>9525</xdr:rowOff>
    </xdr:to>
    <xdr:sp macro="" textlink="">
      <xdr:nvSpPr>
        <xdr:cNvPr id="7180" name="WordArt 12"/>
        <xdr:cNvSpPr>
          <a:spLocks noChangeArrowheads="1" noChangeShapeType="1" noTextEdit="1"/>
        </xdr:cNvSpPr>
      </xdr:nvSpPr>
      <xdr:spPr bwMode="auto">
        <a:xfrm rot="5400000">
          <a:off x="-1185862" y="26950987"/>
          <a:ext cx="2571750" cy="123825"/>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1000" kern="10" spc="0">
              <a:ln>
                <a:noFill/>
              </a:ln>
              <a:solidFill>
                <a:srgbClr val="FFFFFF"/>
              </a:solidFill>
              <a:effectLst/>
              <a:latin typeface="Arial Black"/>
            </a:rPr>
            <a:t> LINE 2       </a:t>
          </a:r>
        </a:p>
      </xdr:txBody>
    </xdr:sp>
    <xdr:clientData/>
  </xdr:twoCellAnchor>
  <xdr:twoCellAnchor>
    <xdr:from>
      <xdr:col>0</xdr:col>
      <xdr:colOff>38100</xdr:colOff>
      <xdr:row>118</xdr:row>
      <xdr:rowOff>0</xdr:rowOff>
    </xdr:from>
    <xdr:to>
      <xdr:col>0</xdr:col>
      <xdr:colOff>161925</xdr:colOff>
      <xdr:row>129</xdr:row>
      <xdr:rowOff>0</xdr:rowOff>
    </xdr:to>
    <xdr:sp macro="" textlink="">
      <xdr:nvSpPr>
        <xdr:cNvPr id="7181" name="WordArt 13"/>
        <xdr:cNvSpPr>
          <a:spLocks noChangeArrowheads="1" noChangeShapeType="1" noTextEdit="1"/>
        </xdr:cNvSpPr>
      </xdr:nvSpPr>
      <xdr:spPr bwMode="auto">
        <a:xfrm rot="5400000">
          <a:off x="-1181100" y="29508450"/>
          <a:ext cx="2562225" cy="123825"/>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1000" kern="10" spc="0">
              <a:ln>
                <a:noFill/>
              </a:ln>
              <a:solidFill>
                <a:srgbClr val="FFFFFF"/>
              </a:solidFill>
              <a:effectLst/>
              <a:latin typeface="Arial Black"/>
            </a:rPr>
            <a:t> LINE 5       </a:t>
          </a:r>
        </a:p>
      </xdr:txBody>
    </xdr:sp>
    <xdr:clientData/>
  </xdr:twoCellAnchor>
  <xdr:twoCellAnchor>
    <xdr:from>
      <xdr:col>0</xdr:col>
      <xdr:colOff>38100</xdr:colOff>
      <xdr:row>129</xdr:row>
      <xdr:rowOff>0</xdr:rowOff>
    </xdr:from>
    <xdr:to>
      <xdr:col>0</xdr:col>
      <xdr:colOff>161925</xdr:colOff>
      <xdr:row>140</xdr:row>
      <xdr:rowOff>9525</xdr:rowOff>
    </xdr:to>
    <xdr:sp macro="" textlink="">
      <xdr:nvSpPr>
        <xdr:cNvPr id="7182" name="WordArt 14"/>
        <xdr:cNvSpPr>
          <a:spLocks noChangeArrowheads="1" noChangeShapeType="1" noTextEdit="1"/>
        </xdr:cNvSpPr>
      </xdr:nvSpPr>
      <xdr:spPr bwMode="auto">
        <a:xfrm rot="5400000">
          <a:off x="-1185862" y="32075437"/>
          <a:ext cx="2571750" cy="123825"/>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1000" kern="10" spc="0">
              <a:ln>
                <a:noFill/>
              </a:ln>
              <a:solidFill>
                <a:srgbClr val="FFFFFF"/>
              </a:solidFill>
              <a:effectLst/>
              <a:latin typeface="Arial Black"/>
            </a:rPr>
            <a:t> LINE 6       </a:t>
          </a:r>
        </a:p>
      </xdr:txBody>
    </xdr:sp>
    <xdr:clientData/>
  </xdr:twoCellAnchor>
  <xdr:twoCellAnchor>
    <xdr:from>
      <xdr:col>0</xdr:col>
      <xdr:colOff>0</xdr:colOff>
      <xdr:row>143</xdr:row>
      <xdr:rowOff>9525</xdr:rowOff>
    </xdr:from>
    <xdr:to>
      <xdr:col>0</xdr:col>
      <xdr:colOff>152400</xdr:colOff>
      <xdr:row>153</xdr:row>
      <xdr:rowOff>0</xdr:rowOff>
    </xdr:to>
    <xdr:sp macro="" textlink="">
      <xdr:nvSpPr>
        <xdr:cNvPr id="7183" name="WordArt 15"/>
        <xdr:cNvSpPr>
          <a:spLocks noChangeArrowheads="1" noChangeShapeType="1" noTextEdit="1"/>
        </xdr:cNvSpPr>
      </xdr:nvSpPr>
      <xdr:spPr bwMode="auto">
        <a:xfrm rot="5400000">
          <a:off x="-1438275" y="35756850"/>
          <a:ext cx="3028950" cy="152400"/>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900" kern="10" spc="0">
              <a:ln>
                <a:noFill/>
              </a:ln>
              <a:solidFill>
                <a:srgbClr val="FFFFFF"/>
              </a:solidFill>
              <a:effectLst/>
              <a:latin typeface="Arial Black"/>
            </a:rPr>
            <a:t> LINES 3 AND 6 </a:t>
          </a:r>
        </a:p>
      </xdr:txBody>
    </xdr:sp>
    <xdr:clientData/>
  </xdr:twoCellAnchor>
  <xdr:twoCellAnchor>
    <xdr:from>
      <xdr:col>0</xdr:col>
      <xdr:colOff>57150</xdr:colOff>
      <xdr:row>154</xdr:row>
      <xdr:rowOff>19050</xdr:rowOff>
    </xdr:from>
    <xdr:to>
      <xdr:col>0</xdr:col>
      <xdr:colOff>180975</xdr:colOff>
      <xdr:row>162</xdr:row>
      <xdr:rowOff>180975</xdr:rowOff>
    </xdr:to>
    <xdr:sp macro="" textlink="">
      <xdr:nvSpPr>
        <xdr:cNvPr id="7184" name="WordArt 16"/>
        <xdr:cNvSpPr>
          <a:spLocks noChangeArrowheads="1" noChangeShapeType="1" noTextEdit="1"/>
        </xdr:cNvSpPr>
      </xdr:nvSpPr>
      <xdr:spPr bwMode="auto">
        <a:xfrm rot="5400000">
          <a:off x="-947737" y="38571487"/>
          <a:ext cx="2133600" cy="123825"/>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800" kern="10" spc="0">
              <a:ln>
                <a:noFill/>
              </a:ln>
              <a:solidFill>
                <a:srgbClr val="FFFFFF"/>
              </a:solidFill>
              <a:effectLst/>
              <a:latin typeface="Arial Black"/>
            </a:rPr>
            <a:t> LINE 14       </a:t>
          </a:r>
        </a:p>
      </xdr:txBody>
    </xdr:sp>
    <xdr:clientData/>
  </xdr:twoCellAnchor>
  <xdr:twoCellAnchor>
    <xdr:from>
      <xdr:col>0</xdr:col>
      <xdr:colOff>38100</xdr:colOff>
      <xdr:row>163</xdr:row>
      <xdr:rowOff>0</xdr:rowOff>
    </xdr:from>
    <xdr:to>
      <xdr:col>0</xdr:col>
      <xdr:colOff>161925</xdr:colOff>
      <xdr:row>163</xdr:row>
      <xdr:rowOff>0</xdr:rowOff>
    </xdr:to>
    <xdr:sp macro="" textlink="">
      <xdr:nvSpPr>
        <xdr:cNvPr id="7185" name="WordArt 17"/>
        <xdr:cNvSpPr>
          <a:spLocks noChangeArrowheads="1" noChangeShapeType="1" noTextEdit="1"/>
        </xdr:cNvSpPr>
      </xdr:nvSpPr>
      <xdr:spPr bwMode="auto">
        <a:xfrm rot="5400000">
          <a:off x="-1081087" y="40838437"/>
          <a:ext cx="2362200" cy="123825"/>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1000" kern="10" spc="0">
              <a:ln>
                <a:noFill/>
              </a:ln>
              <a:solidFill>
                <a:srgbClr val="FFFFFF"/>
              </a:solidFill>
              <a:effectLst/>
              <a:latin typeface="Arial Black"/>
            </a:rPr>
            <a:t> LINE 13       </a:t>
          </a:r>
        </a:p>
      </xdr:txBody>
    </xdr:sp>
    <xdr:clientData/>
  </xdr:twoCellAnchor>
  <xdr:twoCellAnchor>
    <xdr:from>
      <xdr:col>0</xdr:col>
      <xdr:colOff>0</xdr:colOff>
      <xdr:row>163</xdr:row>
      <xdr:rowOff>9525</xdr:rowOff>
    </xdr:from>
    <xdr:to>
      <xdr:col>0</xdr:col>
      <xdr:colOff>152400</xdr:colOff>
      <xdr:row>173</xdr:row>
      <xdr:rowOff>0</xdr:rowOff>
    </xdr:to>
    <xdr:sp macro="" textlink="">
      <xdr:nvSpPr>
        <xdr:cNvPr id="7187" name="WordArt 19"/>
        <xdr:cNvSpPr>
          <a:spLocks noChangeArrowheads="1" noChangeShapeType="1" noTextEdit="1"/>
        </xdr:cNvSpPr>
      </xdr:nvSpPr>
      <xdr:spPr bwMode="auto">
        <a:xfrm rot="5400000">
          <a:off x="-1095375" y="43395900"/>
          <a:ext cx="2343150" cy="152400"/>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900" kern="10" spc="0">
              <a:ln>
                <a:noFill/>
              </a:ln>
              <a:solidFill>
                <a:srgbClr val="FFFFFF"/>
              </a:solidFill>
              <a:effectLst/>
              <a:latin typeface="Arial Black"/>
            </a:rPr>
            <a:t> LINES 1 AND 13 </a:t>
          </a:r>
        </a:p>
      </xdr:txBody>
    </xdr:sp>
    <xdr:clientData/>
  </xdr:twoCellAnchor>
  <xdr:twoCellAnchor>
    <xdr:from>
      <xdr:col>0</xdr:col>
      <xdr:colOff>0</xdr:colOff>
      <xdr:row>176</xdr:row>
      <xdr:rowOff>9525</xdr:rowOff>
    </xdr:from>
    <xdr:to>
      <xdr:col>0</xdr:col>
      <xdr:colOff>152400</xdr:colOff>
      <xdr:row>187</xdr:row>
      <xdr:rowOff>0</xdr:rowOff>
    </xdr:to>
    <xdr:sp macro="" textlink="">
      <xdr:nvSpPr>
        <xdr:cNvPr id="7188" name="WordArt 20"/>
        <xdr:cNvSpPr>
          <a:spLocks noChangeArrowheads="1" noChangeShapeType="1" noTextEdit="1"/>
        </xdr:cNvSpPr>
      </xdr:nvSpPr>
      <xdr:spPr bwMode="auto">
        <a:xfrm rot="5400000">
          <a:off x="-1190625" y="46739175"/>
          <a:ext cx="2533650" cy="152400"/>
        </a:xfrm>
        <a:prstGeom prst="rect">
          <a:avLst/>
        </a:prstGeom>
        <a:extLst>
          <a:ext uri="{91240B29-F687-4F45-9708-019B960494DF}"/>
          <a:ext uri="{AF507438-7753-43E0-B8FC-AC1667EBCBE1}"/>
        </a:extLst>
      </xdr:spPr>
      <xdr:txBody>
        <a:bodyPr vert="wordArtVert" wrap="none" fromWordArt="1">
          <a:prstTxWarp prst="textPlain">
            <a:avLst>
              <a:gd name="adj" fmla="val 50000"/>
            </a:avLst>
          </a:prstTxWarp>
        </a:bodyPr>
        <a:lstStyle/>
        <a:p>
          <a:pPr algn="ctr" rtl="0" fontAlgn="auto">
            <a:buNone/>
          </a:pPr>
          <a:r>
            <a:rPr lang="en-GB" sz="900" kern="10" spc="0">
              <a:ln>
                <a:noFill/>
              </a:ln>
              <a:solidFill>
                <a:srgbClr val="FFFFFF"/>
              </a:solidFill>
              <a:effectLst/>
              <a:latin typeface="Arial Black"/>
            </a:rPr>
            <a:t> LINES 8 TO 12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nbrocklebank@hastings.gov.uk" TargetMode="External"/><Relationship Id="rId1" Type="http://schemas.openxmlformats.org/officeDocument/2006/relationships/hyperlink" Target="mailto:qrc.statistics@communities.gsi.gov.uk" TargetMode="External"/><Relationship Id="rId5" Type="http://schemas.openxmlformats.org/officeDocument/2006/relationships/vmlDrawing" Target="../drawings/vmlDrawing1.vm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codeName="Sheet1">
    <pageSetUpPr fitToPage="1"/>
  </sheetPr>
  <dimension ref="A1:E55"/>
  <sheetViews>
    <sheetView showGridLines="0" workbookViewId="0">
      <selection activeCell="B8" sqref="B8"/>
    </sheetView>
  </sheetViews>
  <sheetFormatPr defaultRowHeight="12.75"/>
  <cols>
    <col min="1" max="1" width="4.7109375" style="1" customWidth="1"/>
    <col min="2" max="2" width="9.7109375" customWidth="1"/>
    <col min="3" max="3" width="117.42578125" customWidth="1"/>
    <col min="4" max="4" width="4.7109375" style="1" customWidth="1"/>
    <col min="5" max="5" width="9.7109375" style="1" customWidth="1"/>
    <col min="6" max="40" width="9.7109375" customWidth="1"/>
  </cols>
  <sheetData>
    <row r="1" spans="1:5" s="34" customFormat="1" ht="15" customHeight="1">
      <c r="A1" s="160"/>
      <c r="B1" s="161"/>
      <c r="C1" s="161"/>
      <c r="D1" s="162"/>
      <c r="E1" s="32"/>
    </row>
    <row r="2" spans="1:5" s="34" customFormat="1" ht="15" customHeight="1">
      <c r="A2" s="573" t="s">
        <v>843</v>
      </c>
      <c r="B2" s="574"/>
      <c r="C2" s="574"/>
      <c r="D2" s="575"/>
      <c r="E2" s="32"/>
    </row>
    <row r="3" spans="1:5" s="34" customFormat="1" ht="15" customHeight="1">
      <c r="A3" s="576" t="s">
        <v>844</v>
      </c>
      <c r="B3" s="577"/>
      <c r="C3" s="578"/>
      <c r="D3" s="579"/>
      <c r="E3" s="32"/>
    </row>
    <row r="4" spans="1:5" s="34" customFormat="1" ht="15" customHeight="1">
      <c r="A4" s="163"/>
      <c r="B4" s="164"/>
      <c r="C4" s="165"/>
      <c r="D4" s="166"/>
      <c r="E4" s="32"/>
    </row>
    <row r="5" spans="1:5" s="34" customFormat="1" ht="15" customHeight="1">
      <c r="A5" s="163"/>
      <c r="B5" s="580" t="s">
        <v>845</v>
      </c>
      <c r="C5" s="581"/>
      <c r="D5" s="166"/>
      <c r="E5" s="32"/>
    </row>
    <row r="6" spans="1:5" s="34" customFormat="1" ht="15" customHeight="1">
      <c r="A6" s="163"/>
      <c r="B6" s="167"/>
      <c r="C6" s="164"/>
      <c r="D6" s="166"/>
      <c r="E6" s="32"/>
    </row>
    <row r="7" spans="1:5" s="34" customFormat="1" ht="15" customHeight="1">
      <c r="A7" s="568" t="s">
        <v>710</v>
      </c>
      <c r="B7" s="580"/>
      <c r="C7" s="569"/>
      <c r="D7" s="570"/>
      <c r="E7" s="32"/>
    </row>
    <row r="8" spans="1:5" s="34" customFormat="1" ht="15" customHeight="1">
      <c r="A8" s="168"/>
      <c r="B8" s="165"/>
      <c r="C8" s="165"/>
      <c r="D8" s="166"/>
      <c r="E8" s="32"/>
    </row>
    <row r="9" spans="1:5" s="34" customFormat="1" ht="15" customHeight="1">
      <c r="A9" s="568" t="s">
        <v>701</v>
      </c>
      <c r="B9" s="580"/>
      <c r="C9" s="569"/>
      <c r="D9" s="570"/>
      <c r="E9" s="32"/>
    </row>
    <row r="10" spans="1:5" s="34" customFormat="1" ht="15" customHeight="1">
      <c r="A10" s="568"/>
      <c r="B10" s="569"/>
      <c r="C10" s="569"/>
      <c r="D10" s="570"/>
      <c r="E10" s="32"/>
    </row>
    <row r="11" spans="1:5" s="34" customFormat="1" ht="15" customHeight="1">
      <c r="A11" s="568" t="s">
        <v>711</v>
      </c>
      <c r="B11" s="569"/>
      <c r="C11" s="569"/>
      <c r="D11" s="570"/>
      <c r="E11" s="32"/>
    </row>
    <row r="12" spans="1:5" s="34" customFormat="1" ht="15" customHeight="1">
      <c r="A12" s="168"/>
      <c r="B12" s="165"/>
      <c r="C12" s="165"/>
      <c r="D12" s="166"/>
      <c r="E12" s="32"/>
    </row>
    <row r="13" spans="1:5" s="34" customFormat="1" ht="15" customHeight="1" thickBot="1">
      <c r="A13" s="169"/>
      <c r="B13" s="170"/>
      <c r="C13" s="170"/>
      <c r="D13" s="208" t="s">
        <v>712</v>
      </c>
      <c r="E13" s="32"/>
    </row>
    <row r="14" spans="1:5" s="34" customFormat="1" ht="15" customHeight="1">
      <c r="A14" s="171"/>
      <c r="B14" s="172"/>
      <c r="C14" s="172"/>
      <c r="D14" s="173"/>
      <c r="E14" s="32"/>
    </row>
    <row r="15" spans="1:5" s="34" customFormat="1" ht="15" customHeight="1">
      <c r="A15" s="174"/>
      <c r="B15" s="571" t="s">
        <v>931</v>
      </c>
      <c r="C15" s="572"/>
      <c r="D15" s="175"/>
      <c r="E15" s="32"/>
    </row>
    <row r="16" spans="1:5" s="34" customFormat="1" ht="15" customHeight="1">
      <c r="A16" s="176"/>
      <c r="B16" s="572"/>
      <c r="C16" s="572"/>
      <c r="D16" s="177"/>
      <c r="E16" s="32"/>
    </row>
    <row r="17" spans="1:5" s="34" customFormat="1" ht="15" customHeight="1" thickBot="1">
      <c r="A17" s="178"/>
      <c r="B17" s="179"/>
      <c r="C17" s="588"/>
      <c r="D17" s="589"/>
      <c r="E17" s="32"/>
    </row>
    <row r="18" spans="1:5" s="76" customFormat="1" ht="15" customHeight="1">
      <c r="A18" s="79"/>
      <c r="B18" s="32"/>
      <c r="C18" s="32"/>
      <c r="D18" s="181"/>
      <c r="E18" s="180"/>
    </row>
    <row r="19" spans="1:5" s="34" customFormat="1" ht="15" customHeight="1">
      <c r="A19" s="79"/>
      <c r="B19" s="182" t="s">
        <v>702</v>
      </c>
      <c r="C19" s="11"/>
      <c r="D19" s="155"/>
      <c r="E19" s="32"/>
    </row>
    <row r="20" spans="1:5" s="34" customFormat="1" ht="15" customHeight="1">
      <c r="A20" s="79"/>
      <c r="B20" s="183"/>
      <c r="C20" s="11"/>
      <c r="D20" s="155"/>
      <c r="E20" s="32"/>
    </row>
    <row r="21" spans="1:5" s="34" customFormat="1" ht="15" customHeight="1">
      <c r="A21" s="79"/>
      <c r="B21" s="582" t="s">
        <v>829</v>
      </c>
      <c r="C21" s="582"/>
      <c r="D21" s="155"/>
      <c r="E21" s="32"/>
    </row>
    <row r="22" spans="1:5" s="34" customFormat="1" ht="15" customHeight="1">
      <c r="A22" s="79"/>
      <c r="B22" s="582"/>
      <c r="C22" s="582"/>
      <c r="D22" s="155"/>
      <c r="E22" s="32"/>
    </row>
    <row r="23" spans="1:5" s="34" customFormat="1" ht="15" customHeight="1">
      <c r="A23" s="79"/>
      <c r="B23" s="582"/>
      <c r="C23" s="582"/>
      <c r="D23" s="155"/>
      <c r="E23" s="32"/>
    </row>
    <row r="24" spans="1:5" s="34" customFormat="1" ht="15" customHeight="1">
      <c r="A24" s="79"/>
      <c r="B24" s="582"/>
      <c r="C24" s="582"/>
      <c r="D24" s="155"/>
      <c r="E24" s="32"/>
    </row>
    <row r="25" spans="1:5" s="34" customFormat="1" ht="15" customHeight="1">
      <c r="A25" s="79"/>
      <c r="B25" s="183"/>
      <c r="C25" s="11"/>
      <c r="D25" s="155"/>
      <c r="E25" s="32"/>
    </row>
    <row r="26" spans="1:5" s="34" customFormat="1" ht="15" customHeight="1">
      <c r="A26" s="79"/>
      <c r="B26" s="183" t="s">
        <v>830</v>
      </c>
      <c r="C26" s="11"/>
      <c r="D26" s="155"/>
      <c r="E26" s="32"/>
    </row>
    <row r="27" spans="1:5" s="34" customFormat="1" ht="15" customHeight="1" thickBot="1">
      <c r="A27" s="79"/>
      <c r="B27" s="183"/>
      <c r="C27" s="11"/>
      <c r="D27" s="155"/>
      <c r="E27" s="32"/>
    </row>
    <row r="28" spans="1:5" s="34" customFormat="1" ht="15" customHeight="1" thickBot="1">
      <c r="A28" s="79"/>
      <c r="B28" s="184"/>
      <c r="C28" s="590" t="s">
        <v>703</v>
      </c>
      <c r="D28" s="155"/>
      <c r="E28" s="32"/>
    </row>
    <row r="29" spans="1:5" s="34" customFormat="1" ht="15" customHeight="1">
      <c r="A29" s="79"/>
      <c r="B29" s="11"/>
      <c r="C29" s="590"/>
      <c r="D29" s="155"/>
      <c r="E29" s="32"/>
    </row>
    <row r="30" spans="1:5" s="34" customFormat="1" ht="15" customHeight="1">
      <c r="A30" s="79"/>
      <c r="B30" s="11"/>
      <c r="C30" s="186"/>
      <c r="D30" s="155"/>
      <c r="E30" s="32"/>
    </row>
    <row r="31" spans="1:5" s="34" customFormat="1" ht="15" customHeight="1" thickBot="1">
      <c r="A31" s="79"/>
      <c r="B31" s="12"/>
      <c r="C31" s="187"/>
      <c r="D31" s="155"/>
      <c r="E31" s="32"/>
    </row>
    <row r="32" spans="1:5" s="34" customFormat="1" ht="15" customHeight="1" thickBot="1">
      <c r="A32" s="79"/>
      <c r="B32" s="188"/>
      <c r="C32" s="590" t="s">
        <v>704</v>
      </c>
      <c r="D32" s="155"/>
      <c r="E32" s="32"/>
    </row>
    <row r="33" spans="1:5" s="34" customFormat="1" ht="15" customHeight="1">
      <c r="A33" s="79"/>
      <c r="B33" s="11"/>
      <c r="C33" s="590"/>
      <c r="D33" s="155"/>
      <c r="E33" s="32"/>
    </row>
    <row r="34" spans="1:5" s="34" customFormat="1" ht="15" customHeight="1">
      <c r="A34" s="79"/>
      <c r="B34" s="11"/>
      <c r="C34" s="185"/>
      <c r="D34" s="155"/>
      <c r="E34" s="32"/>
    </row>
    <row r="35" spans="1:5" s="34" customFormat="1" ht="15" customHeight="1">
      <c r="A35" s="79"/>
      <c r="B35" s="182" t="s">
        <v>705</v>
      </c>
      <c r="C35" s="11"/>
      <c r="D35" s="155"/>
      <c r="E35" s="32"/>
    </row>
    <row r="36" spans="1:5" s="34" customFormat="1" ht="15" customHeight="1">
      <c r="A36" s="79"/>
      <c r="B36" s="182"/>
      <c r="C36" s="11"/>
      <c r="D36" s="155"/>
      <c r="E36" s="32"/>
    </row>
    <row r="37" spans="1:5" s="34" customFormat="1" ht="15" customHeight="1">
      <c r="A37" s="79"/>
      <c r="B37" s="584" t="s">
        <v>932</v>
      </c>
      <c r="C37" s="585"/>
      <c r="D37" s="155"/>
      <c r="E37" s="32"/>
    </row>
    <row r="38" spans="1:5" s="34" customFormat="1" ht="15" customHeight="1">
      <c r="A38" s="79"/>
      <c r="B38" s="585"/>
      <c r="C38" s="585"/>
      <c r="D38" s="155"/>
      <c r="E38" s="32"/>
    </row>
    <row r="39" spans="1:5" s="34" customFormat="1" ht="15" customHeight="1">
      <c r="A39" s="79"/>
      <c r="B39" s="585"/>
      <c r="C39" s="585"/>
      <c r="D39" s="155"/>
      <c r="E39" s="32"/>
    </row>
    <row r="40" spans="1:5" s="34" customFormat="1" ht="15" customHeight="1">
      <c r="A40" s="79"/>
      <c r="B40" s="585"/>
      <c r="C40" s="585"/>
      <c r="D40" s="155"/>
      <c r="E40" s="32"/>
    </row>
    <row r="41" spans="1:5" s="34" customFormat="1" ht="15" customHeight="1">
      <c r="A41" s="79"/>
      <c r="B41" s="197"/>
      <c r="C41" s="197"/>
      <c r="D41" s="155"/>
      <c r="E41" s="32"/>
    </row>
    <row r="42" spans="1:5" s="34" customFormat="1" ht="15" customHeight="1">
      <c r="A42" s="79"/>
      <c r="B42" s="182" t="s">
        <v>706</v>
      </c>
      <c r="C42" s="11"/>
      <c r="D42" s="155"/>
      <c r="E42" s="32"/>
    </row>
    <row r="43" spans="1:5" s="34" customFormat="1" ht="15" customHeight="1">
      <c r="A43" s="79"/>
      <c r="B43" s="182"/>
      <c r="C43" s="11"/>
      <c r="D43" s="155"/>
      <c r="E43" s="32"/>
    </row>
    <row r="44" spans="1:5" s="34" customFormat="1" ht="15" customHeight="1">
      <c r="A44" s="79"/>
      <c r="B44" s="183" t="s">
        <v>933</v>
      </c>
      <c r="C44" s="11"/>
      <c r="D44" s="155"/>
      <c r="E44" s="32"/>
    </row>
    <row r="45" spans="1:5" s="34" customFormat="1" ht="15" customHeight="1">
      <c r="A45" s="79"/>
      <c r="B45" s="183"/>
      <c r="C45" s="11"/>
      <c r="D45" s="155"/>
      <c r="E45" s="32"/>
    </row>
    <row r="46" spans="1:5" s="34" customFormat="1" ht="15" customHeight="1">
      <c r="A46" s="79"/>
      <c r="B46" s="189" t="s">
        <v>934</v>
      </c>
      <c r="C46" s="11"/>
      <c r="D46" s="155"/>
      <c r="E46" s="32"/>
    </row>
    <row r="47" spans="1:5" s="34" customFormat="1" ht="15" customHeight="1">
      <c r="A47" s="79"/>
      <c r="B47" s="586" t="s">
        <v>834</v>
      </c>
      <c r="C47" s="587"/>
      <c r="D47" s="155"/>
      <c r="E47" s="32"/>
    </row>
    <row r="48" spans="1:5" s="34" customFormat="1" ht="15" customHeight="1">
      <c r="A48" s="79"/>
      <c r="B48" s="587"/>
      <c r="C48" s="587"/>
      <c r="D48" s="155"/>
      <c r="E48" s="32"/>
    </row>
    <row r="49" spans="1:5" s="34" customFormat="1" ht="15" customHeight="1">
      <c r="A49" s="79"/>
      <c r="B49" s="582" t="s">
        <v>835</v>
      </c>
      <c r="C49" s="583"/>
      <c r="D49" s="155"/>
      <c r="E49" s="32"/>
    </row>
    <row r="50" spans="1:5" s="34" customFormat="1" ht="15" customHeight="1">
      <c r="A50" s="79"/>
      <c r="B50" s="583"/>
      <c r="C50" s="583"/>
      <c r="D50" s="155"/>
      <c r="E50" s="32"/>
    </row>
    <row r="51" spans="1:5" s="34" customFormat="1" ht="15" customHeight="1">
      <c r="A51" s="79"/>
      <c r="B51" s="183"/>
      <c r="C51" s="11"/>
      <c r="D51" s="155"/>
      <c r="E51" s="32"/>
    </row>
    <row r="52" spans="1:5" s="34" customFormat="1" ht="15" customHeight="1">
      <c r="A52" s="79"/>
      <c r="B52" s="182" t="s">
        <v>707</v>
      </c>
      <c r="C52" s="11"/>
      <c r="D52" s="155"/>
      <c r="E52" s="32"/>
    </row>
    <row r="53" spans="1:5" ht="15">
      <c r="A53" s="190"/>
      <c r="B53" s="191" t="s">
        <v>836</v>
      </c>
      <c r="C53" s="192"/>
      <c r="D53" s="193"/>
    </row>
    <row r="54" spans="1:5" ht="15.75" thickBot="1">
      <c r="A54" s="194"/>
      <c r="B54" s="195"/>
      <c r="C54" s="195"/>
      <c r="D54" s="196"/>
    </row>
    <row r="55" spans="1:5" ht="14.25">
      <c r="A55" s="183"/>
      <c r="B55" s="1"/>
      <c r="C55" s="1"/>
    </row>
  </sheetData>
  <mergeCells count="15">
    <mergeCell ref="B49:C50"/>
    <mergeCell ref="B37:C40"/>
    <mergeCell ref="B47:C48"/>
    <mergeCell ref="C17:D17"/>
    <mergeCell ref="B21:C24"/>
    <mergeCell ref="C28:C29"/>
    <mergeCell ref="C32:C33"/>
    <mergeCell ref="A11:D11"/>
    <mergeCell ref="B15:C16"/>
    <mergeCell ref="A2:D2"/>
    <mergeCell ref="A3:D3"/>
    <mergeCell ref="B5:C5"/>
    <mergeCell ref="A7:D7"/>
    <mergeCell ref="A9:D9"/>
    <mergeCell ref="A10:D10"/>
  </mergeCells>
  <phoneticPr fontId="40" type="noConversion"/>
  <pageMargins left="0.75" right="0.75" top="1" bottom="1" header="0.5" footer="0.5"/>
  <pageSetup paperSize="9" scale="64" orientation="portrait" r:id="rId1"/>
  <headerFooter alignWithMargins="0"/>
  <drawing r:id="rId2"/>
</worksheet>
</file>

<file path=xl/worksheets/sheet2.xml><?xml version="1.0" encoding="utf-8"?>
<worksheet xmlns="http://schemas.openxmlformats.org/spreadsheetml/2006/main" xmlns:r="http://schemas.openxmlformats.org/officeDocument/2006/relationships">
  <sheetPr codeName="Sheet2"/>
  <dimension ref="A1:BW190"/>
  <sheetViews>
    <sheetView showGridLines="0" tabSelected="1" topLeftCell="A31" zoomScale="75" zoomScaleNormal="100" zoomScaleSheetLayoutView="75" workbookViewId="0">
      <selection activeCell="A70" sqref="A70"/>
    </sheetView>
  </sheetViews>
  <sheetFormatPr defaultRowHeight="15"/>
  <cols>
    <col min="1" max="1" width="3.5703125" style="9" customWidth="1"/>
    <col min="2" max="2" width="30.5703125" style="7" customWidth="1"/>
    <col min="3" max="4" width="25.7109375" style="7" customWidth="1"/>
    <col min="5" max="5" width="6.7109375" style="7" customWidth="1"/>
    <col min="6" max="6" width="25.7109375" style="7" customWidth="1"/>
    <col min="7" max="7" width="7.7109375" style="7" customWidth="1"/>
    <col min="8" max="8" width="5.7109375" style="7" customWidth="1"/>
    <col min="9" max="9" width="24" style="7" customWidth="1"/>
    <col min="10" max="10" width="2.5703125" style="7" customWidth="1"/>
    <col min="11" max="11" width="22.5703125" style="7" customWidth="1"/>
    <col min="12" max="12" width="5.7109375" style="12" customWidth="1"/>
    <col min="13" max="13" width="5.7109375" style="74" customWidth="1"/>
    <col min="14" max="14" width="5.7109375" style="508" customWidth="1"/>
    <col min="15" max="27" width="9.140625" style="508"/>
    <col min="33" max="33" width="51.42578125" bestFit="1" customWidth="1"/>
    <col min="34" max="34" width="36.42578125" bestFit="1" customWidth="1"/>
    <col min="35" max="36" width="13.5703125" bestFit="1" customWidth="1"/>
    <col min="37" max="37" width="19.5703125" bestFit="1" customWidth="1"/>
    <col min="38" max="44" width="10.28515625" bestFit="1" customWidth="1"/>
    <col min="45" max="48" width="11.28515625" bestFit="1" customWidth="1"/>
    <col min="49" max="57" width="10.28515625" bestFit="1" customWidth="1"/>
    <col min="58" max="75" width="11.28515625" bestFit="1" customWidth="1"/>
  </cols>
  <sheetData>
    <row r="1" spans="1:30" s="10" customFormat="1" ht="20.25">
      <c r="A1" s="156"/>
      <c r="B1" s="157"/>
      <c r="C1" s="596"/>
      <c r="D1" s="597"/>
      <c r="E1" s="597"/>
      <c r="F1" s="597"/>
      <c r="G1" s="158"/>
      <c r="H1" s="158"/>
      <c r="I1" s="198">
        <v>124</v>
      </c>
      <c r="J1" s="159"/>
      <c r="K1" s="159"/>
      <c r="L1" s="449" t="str">
        <f ca="1">+Instructions!D13</f>
        <v>Ver 1.0</v>
      </c>
      <c r="M1" s="74"/>
      <c r="N1" s="503"/>
      <c r="O1" s="503"/>
      <c r="P1" s="503"/>
      <c r="Q1" s="503"/>
      <c r="R1" s="503"/>
      <c r="S1" s="503"/>
      <c r="T1" s="503"/>
      <c r="U1" s="503"/>
      <c r="V1" s="503"/>
      <c r="W1" s="503"/>
      <c r="X1" s="503"/>
      <c r="Y1" s="504"/>
      <c r="Z1" s="504"/>
      <c r="AA1" s="504"/>
    </row>
    <row r="2" spans="1:30" s="12" customFormat="1" ht="20.25">
      <c r="A2" s="598" t="s">
        <v>846</v>
      </c>
      <c r="B2" s="599"/>
      <c r="C2" s="599"/>
      <c r="D2" s="599"/>
      <c r="E2" s="599"/>
      <c r="F2" s="599"/>
      <c r="G2" s="599"/>
      <c r="H2" s="599"/>
      <c r="I2" s="599"/>
      <c r="J2" s="599"/>
      <c r="K2" s="599"/>
      <c r="L2" s="600"/>
      <c r="M2" s="74"/>
      <c r="N2" s="505"/>
      <c r="O2" s="505"/>
      <c r="P2" s="505"/>
      <c r="Q2" s="505"/>
      <c r="R2" s="505"/>
      <c r="S2" s="505"/>
      <c r="T2" s="505"/>
      <c r="U2" s="505"/>
      <c r="V2" s="505"/>
      <c r="W2" s="505"/>
      <c r="X2" s="505"/>
      <c r="Y2" s="506"/>
      <c r="Z2" s="506"/>
      <c r="AA2" s="506"/>
    </row>
    <row r="3" spans="1:30" s="12" customFormat="1" ht="20.25">
      <c r="A3" s="598"/>
      <c r="B3" s="599"/>
      <c r="C3" s="599"/>
      <c r="D3" s="599"/>
      <c r="E3" s="599"/>
      <c r="F3" s="599"/>
      <c r="G3" s="599"/>
      <c r="H3" s="599"/>
      <c r="I3" s="599"/>
      <c r="J3" s="599"/>
      <c r="K3" s="599"/>
      <c r="L3" s="600"/>
      <c r="M3" s="74"/>
      <c r="N3" s="505"/>
      <c r="O3" s="505"/>
      <c r="P3" s="505"/>
      <c r="Q3" s="505"/>
      <c r="R3" s="505"/>
      <c r="S3" s="505"/>
      <c r="T3" s="505"/>
      <c r="U3" s="505"/>
      <c r="V3" s="505"/>
      <c r="W3" s="505"/>
      <c r="X3" s="505"/>
      <c r="Y3" s="505"/>
      <c r="Z3" s="505"/>
      <c r="AA3" s="505"/>
      <c r="AB3" s="74"/>
      <c r="AC3" s="74"/>
    </row>
    <row r="4" spans="1:30" s="213" customFormat="1" ht="23.25">
      <c r="A4" s="209"/>
      <c r="B4" s="397"/>
      <c r="C4" s="397"/>
      <c r="D4" s="400" t="s">
        <v>806</v>
      </c>
      <c r="E4" s="398" t="s">
        <v>805</v>
      </c>
      <c r="F4" s="397"/>
      <c r="G4" s="397"/>
      <c r="H4" s="397"/>
      <c r="I4" s="397"/>
      <c r="J4" s="397"/>
      <c r="K4" s="397"/>
      <c r="L4" s="399"/>
      <c r="M4"/>
      <c r="N4" s="507"/>
      <c r="O4" s="507"/>
      <c r="P4" s="507"/>
      <c r="Q4" s="507"/>
      <c r="R4" s="507"/>
      <c r="S4" s="507"/>
      <c r="T4" s="507"/>
      <c r="U4" s="507"/>
      <c r="V4" s="507"/>
      <c r="W4" s="507"/>
      <c r="X4" s="507"/>
      <c r="Y4" s="507"/>
      <c r="Z4" s="507"/>
      <c r="AA4" s="507"/>
      <c r="AB4" s="212"/>
      <c r="AC4" s="212"/>
    </row>
    <row r="5" spans="1:30" s="213" customFormat="1" ht="23.25">
      <c r="A5" s="209"/>
      <c r="B5" s="210"/>
      <c r="C5" s="210"/>
      <c r="D5" s="210"/>
      <c r="E5" s="210"/>
      <c r="F5" s="210"/>
      <c r="G5" s="210"/>
      <c r="H5" s="210"/>
      <c r="I5" s="210"/>
      <c r="J5" s="210"/>
      <c r="K5" s="210"/>
      <c r="L5" s="211"/>
      <c r="M5" s="212"/>
      <c r="N5" s="507"/>
      <c r="O5" s="507"/>
      <c r="P5" s="507"/>
      <c r="Q5" s="507"/>
      <c r="R5" s="507"/>
      <c r="S5" s="507"/>
      <c r="T5" s="507"/>
      <c r="U5" s="507"/>
      <c r="V5" s="507"/>
      <c r="W5" s="507"/>
      <c r="X5" s="507"/>
      <c r="Y5" s="507"/>
      <c r="Z5" s="507"/>
      <c r="AA5" s="507"/>
      <c r="AB5" s="212"/>
      <c r="AC5" s="212"/>
    </row>
    <row r="6" spans="1:30" s="213" customFormat="1" ht="18">
      <c r="A6" s="601" t="s">
        <v>833</v>
      </c>
      <c r="B6" s="602"/>
      <c r="C6" s="602"/>
      <c r="D6" s="602"/>
      <c r="E6" s="602"/>
      <c r="F6" s="602"/>
      <c r="G6" s="602"/>
      <c r="H6" s="602"/>
      <c r="I6" s="602"/>
      <c r="J6" s="602"/>
      <c r="K6" s="602"/>
      <c r="L6" s="603"/>
      <c r="M6" s="281"/>
      <c r="N6" s="507"/>
      <c r="O6" s="507"/>
      <c r="P6" s="507"/>
      <c r="Q6" s="507"/>
      <c r="R6" s="507"/>
      <c r="S6" s="507"/>
      <c r="T6" s="507"/>
      <c r="U6" s="507"/>
      <c r="V6" s="507"/>
      <c r="W6" s="507"/>
      <c r="X6" s="507"/>
      <c r="Y6" s="507"/>
      <c r="Z6" s="507"/>
      <c r="AA6" s="507"/>
      <c r="AB6" s="212"/>
      <c r="AC6" s="212"/>
    </row>
    <row r="7" spans="1:30" s="213" customFormat="1" ht="18">
      <c r="A7" s="601" t="s">
        <v>727</v>
      </c>
      <c r="B7" s="604"/>
      <c r="C7" s="604"/>
      <c r="D7" s="604"/>
      <c r="E7" s="604"/>
      <c r="F7" s="604"/>
      <c r="G7" s="604"/>
      <c r="H7" s="604"/>
      <c r="I7" s="604"/>
      <c r="J7" s="604"/>
      <c r="K7" s="604"/>
      <c r="L7" s="605"/>
      <c r="M7" s="282"/>
      <c r="N7" s="507"/>
      <c r="O7" s="507"/>
      <c r="P7" s="507"/>
      <c r="Q7" s="507"/>
      <c r="R7" s="507"/>
      <c r="S7" s="507"/>
      <c r="T7" s="507"/>
      <c r="U7" s="507"/>
      <c r="V7" s="507"/>
      <c r="W7" s="507"/>
      <c r="X7" s="507"/>
      <c r="Y7" s="507"/>
      <c r="Z7" s="507"/>
      <c r="AA7" s="507"/>
      <c r="AB7" s="212"/>
      <c r="AC7" s="212"/>
    </row>
    <row r="8" spans="1:30" s="213" customFormat="1" ht="18">
      <c r="A8" s="601"/>
      <c r="B8" s="602"/>
      <c r="C8" s="602"/>
      <c r="D8" s="602"/>
      <c r="E8" s="602"/>
      <c r="F8" s="602"/>
      <c r="G8" s="602"/>
      <c r="H8" s="602"/>
      <c r="I8" s="602"/>
      <c r="J8" s="602"/>
      <c r="K8" s="602"/>
      <c r="L8" s="603"/>
      <c r="M8" s="281"/>
      <c r="N8" s="507"/>
      <c r="O8" s="507"/>
      <c r="P8" s="507"/>
      <c r="Q8" s="507"/>
      <c r="R8" s="507"/>
      <c r="S8" s="507"/>
      <c r="T8" s="507"/>
      <c r="U8" s="507"/>
      <c r="V8" s="507"/>
      <c r="W8" s="507"/>
      <c r="X8" s="507"/>
      <c r="Y8" s="507"/>
      <c r="Z8" s="507"/>
      <c r="AA8" s="507"/>
      <c r="AB8" s="212"/>
      <c r="AC8" s="212"/>
    </row>
    <row r="9" spans="1:30" s="213" customFormat="1" ht="18.75" thickBot="1">
      <c r="A9" s="214"/>
      <c r="B9" s="447" t="s">
        <v>847</v>
      </c>
      <c r="C9" s="447"/>
      <c r="D9" s="447"/>
      <c r="E9" s="447"/>
      <c r="F9" s="447"/>
      <c r="G9" s="447"/>
      <c r="H9" s="447"/>
      <c r="I9" s="447"/>
      <c r="J9" s="447"/>
      <c r="K9" s="447"/>
      <c r="L9" s="289"/>
      <c r="M9" s="212"/>
      <c r="N9" s="507"/>
      <c r="O9" s="507"/>
      <c r="P9" s="507"/>
      <c r="Q9" s="507"/>
      <c r="R9" s="507"/>
      <c r="S9" s="507"/>
      <c r="T9" s="507"/>
      <c r="U9" s="507"/>
      <c r="V9" s="507"/>
      <c r="W9" s="507"/>
      <c r="X9" s="507"/>
      <c r="Y9" s="507"/>
      <c r="Z9" s="507"/>
      <c r="AA9" s="507"/>
      <c r="AB9" s="212"/>
      <c r="AC9" s="212"/>
    </row>
    <row r="10" spans="1:30" s="213" customFormat="1" ht="20.25">
      <c r="A10" s="302"/>
      <c r="B10" s="290"/>
      <c r="C10" s="22"/>
      <c r="D10" s="22"/>
      <c r="E10" s="22"/>
      <c r="F10" s="22"/>
      <c r="G10" s="22"/>
      <c r="H10" s="22"/>
      <c r="I10" s="22"/>
      <c r="J10" s="92"/>
      <c r="K10" s="92"/>
      <c r="L10" s="296"/>
      <c r="M10" s="212"/>
      <c r="N10" s="507"/>
      <c r="O10" s="507"/>
      <c r="P10" s="507"/>
      <c r="Q10" s="507"/>
      <c r="R10" s="507"/>
      <c r="S10" s="507"/>
      <c r="T10" s="507"/>
      <c r="U10" s="507"/>
      <c r="V10" s="507"/>
      <c r="W10" s="507"/>
      <c r="X10" s="507"/>
      <c r="Y10" s="507"/>
      <c r="Z10" s="507"/>
      <c r="AA10" s="507"/>
      <c r="AB10" s="212"/>
      <c r="AC10" s="212"/>
    </row>
    <row r="11" spans="1:30" s="12" customFormat="1" ht="15.75" customHeight="1">
      <c r="A11" s="18"/>
      <c r="B11" s="291"/>
      <c r="C11" s="140" t="s">
        <v>701</v>
      </c>
      <c r="D11" s="23"/>
      <c r="E11" s="23"/>
      <c r="F11" s="23"/>
      <c r="G11" s="93"/>
      <c r="H11" s="93"/>
      <c r="I11" s="93"/>
      <c r="J11" s="93"/>
      <c r="K11" s="93"/>
      <c r="L11" s="297"/>
      <c r="M11"/>
      <c r="N11" s="508"/>
      <c r="O11" s="505"/>
      <c r="P11" s="505"/>
      <c r="Q11" s="505"/>
      <c r="R11" s="505"/>
      <c r="S11" s="505"/>
      <c r="T11" s="505"/>
      <c r="U11" s="505"/>
      <c r="V11" s="505"/>
      <c r="W11" s="505"/>
      <c r="X11" s="505"/>
      <c r="Y11" s="505"/>
      <c r="Z11" s="505"/>
      <c r="AA11" s="505"/>
      <c r="AB11" s="74"/>
      <c r="AC11" s="74"/>
      <c r="AD11" s="74"/>
    </row>
    <row r="12" spans="1:30">
      <c r="A12" s="18"/>
      <c r="B12" s="291"/>
      <c r="C12" s="94"/>
      <c r="D12" s="94"/>
      <c r="E12" s="94"/>
      <c r="F12" s="94"/>
      <c r="G12" s="94"/>
      <c r="H12" s="94"/>
      <c r="I12" s="94"/>
      <c r="J12" s="94"/>
      <c r="K12" s="94"/>
      <c r="L12" s="298"/>
      <c r="M12"/>
      <c r="O12" s="509"/>
      <c r="P12" s="510"/>
      <c r="Q12" s="509"/>
      <c r="R12" s="509"/>
      <c r="S12" s="509"/>
      <c r="T12" s="509"/>
      <c r="U12" s="509"/>
      <c r="V12" s="509"/>
      <c r="W12" s="509"/>
      <c r="X12" s="509"/>
      <c r="Y12" s="509"/>
      <c r="Z12" s="509"/>
      <c r="AA12" s="509"/>
      <c r="AB12" s="75"/>
      <c r="AC12" s="75"/>
      <c r="AD12" s="75"/>
    </row>
    <row r="13" spans="1:30" ht="15.75" customHeight="1">
      <c r="A13" s="21"/>
      <c r="B13" s="290"/>
      <c r="C13" s="71"/>
      <c r="D13" s="71"/>
      <c r="E13" s="71"/>
      <c r="F13" s="71"/>
      <c r="G13" s="72"/>
      <c r="H13" s="72"/>
      <c r="I13" s="72"/>
      <c r="J13" s="95"/>
      <c r="K13" s="95"/>
      <c r="L13" s="299"/>
      <c r="M13"/>
      <c r="O13" s="509"/>
      <c r="P13" s="509"/>
      <c r="Q13" s="509"/>
      <c r="R13" s="509"/>
      <c r="S13" s="509"/>
      <c r="T13" s="509"/>
      <c r="U13" s="509"/>
      <c r="V13" s="509"/>
      <c r="W13" s="509"/>
      <c r="X13" s="509"/>
      <c r="Y13" s="509"/>
      <c r="Z13" s="509"/>
      <c r="AA13" s="509"/>
      <c r="AB13" s="75"/>
      <c r="AC13" s="75"/>
      <c r="AD13" s="75"/>
    </row>
    <row r="14" spans="1:30" s="12" customFormat="1" ht="15.75">
      <c r="A14" s="96"/>
      <c r="B14" s="294"/>
      <c r="C14" s="295" t="s">
        <v>17</v>
      </c>
      <c r="D14" s="293"/>
      <c r="E14" s="116"/>
      <c r="F14" s="116"/>
      <c r="G14" s="97"/>
      <c r="H14" s="13"/>
      <c r="I14" s="13"/>
      <c r="J14" s="13"/>
      <c r="K14" s="13"/>
      <c r="L14" s="300"/>
      <c r="M14"/>
      <c r="N14" s="508"/>
      <c r="O14" s="505"/>
      <c r="P14" s="505"/>
      <c r="Q14" s="505"/>
      <c r="R14" s="505"/>
      <c r="S14" s="505"/>
      <c r="T14" s="505"/>
      <c r="U14" s="505"/>
      <c r="V14" s="505"/>
      <c r="W14" s="505"/>
      <c r="X14" s="505"/>
      <c r="Y14" s="505"/>
      <c r="Z14" s="505"/>
      <c r="AA14" s="505"/>
      <c r="AB14" s="74"/>
      <c r="AC14" s="74"/>
      <c r="AD14" s="74"/>
    </row>
    <row r="15" spans="1:30" s="12" customFormat="1" ht="15.75">
      <c r="A15" s="96"/>
      <c r="B15" s="294"/>
      <c r="C15" s="293"/>
      <c r="D15" s="293"/>
      <c r="E15" s="294"/>
      <c r="F15" s="116"/>
      <c r="G15" s="97"/>
      <c r="H15" s="13"/>
      <c r="I15" s="13"/>
      <c r="J15" s="13"/>
      <c r="K15" s="13"/>
      <c r="L15" s="300"/>
      <c r="M15"/>
      <c r="N15" s="508"/>
      <c r="O15" s="505"/>
      <c r="P15" s="505"/>
      <c r="Q15" s="505"/>
      <c r="R15" s="505"/>
      <c r="S15" s="505"/>
      <c r="T15" s="505"/>
      <c r="U15" s="505"/>
      <c r="V15" s="505"/>
      <c r="W15" s="505"/>
      <c r="X15" s="505"/>
      <c r="Y15" s="505"/>
      <c r="Z15" s="505"/>
      <c r="AA15" s="505"/>
      <c r="AB15" s="74"/>
      <c r="AC15" s="74"/>
      <c r="AD15" s="74"/>
    </row>
    <row r="16" spans="1:30" s="12" customFormat="1" ht="15.75">
      <c r="A16" s="98"/>
      <c r="B16" s="294"/>
      <c r="C16" s="293"/>
      <c r="D16" s="293"/>
      <c r="E16" s="116"/>
      <c r="F16" s="116"/>
      <c r="G16" s="73"/>
      <c r="H16" s="80"/>
      <c r="I16" s="13"/>
      <c r="J16" s="13"/>
      <c r="K16" s="13"/>
      <c r="L16" s="300"/>
      <c r="M16"/>
      <c r="N16" s="508"/>
      <c r="O16" s="505"/>
      <c r="P16" s="505"/>
      <c r="Q16" s="505"/>
      <c r="R16" s="505"/>
      <c r="S16" s="505"/>
      <c r="T16" s="505"/>
      <c r="U16" s="505"/>
      <c r="V16" s="505"/>
      <c r="W16" s="505"/>
      <c r="X16" s="505"/>
      <c r="Y16" s="505"/>
      <c r="Z16" s="505"/>
      <c r="AA16" s="505"/>
      <c r="AB16" s="74"/>
      <c r="AC16" s="74"/>
      <c r="AD16" s="74"/>
    </row>
    <row r="17" spans="1:31" s="12" customFormat="1" ht="15.75">
      <c r="A17" s="98"/>
      <c r="B17" s="294"/>
      <c r="C17" s="293"/>
      <c r="D17" s="293"/>
      <c r="E17" s="116"/>
      <c r="F17" s="116"/>
      <c r="G17" s="13"/>
      <c r="H17" s="13"/>
      <c r="I17" s="13"/>
      <c r="J17" s="13"/>
      <c r="K17" s="13"/>
      <c r="L17" s="300"/>
      <c r="M17"/>
      <c r="N17" s="508"/>
      <c r="O17" s="505"/>
      <c r="P17" s="505"/>
      <c r="Q17" s="505"/>
      <c r="R17" s="505"/>
      <c r="S17" s="505"/>
      <c r="T17" s="505"/>
      <c r="U17" s="505"/>
      <c r="V17" s="505"/>
      <c r="W17" s="505"/>
      <c r="X17" s="505"/>
      <c r="Y17" s="505"/>
      <c r="Z17" s="505"/>
      <c r="AA17" s="505"/>
      <c r="AB17" s="74"/>
      <c r="AC17" s="74"/>
      <c r="AD17" s="74"/>
    </row>
    <row r="18" spans="1:31" s="12" customFormat="1" ht="18">
      <c r="A18" s="99"/>
      <c r="B18" s="292"/>
      <c r="C18" s="594" t="s">
        <v>3</v>
      </c>
      <c r="D18" s="595"/>
      <c r="E18" s="595"/>
      <c r="F18" s="606" t="str">
        <f ca="1">VLOOKUP(I1,datar,2,FALSE)</f>
        <v>Hastings</v>
      </c>
      <c r="G18" s="607"/>
      <c r="H18" s="607"/>
      <c r="I18" s="608"/>
      <c r="J18" s="13"/>
      <c r="K18" s="13"/>
      <c r="L18" s="300"/>
      <c r="M18"/>
      <c r="N18" s="508"/>
      <c r="O18" s="505"/>
      <c r="P18" s="505"/>
      <c r="Q18" s="505"/>
      <c r="R18" s="505"/>
      <c r="S18" s="505"/>
      <c r="T18" s="505"/>
      <c r="U18" s="505"/>
      <c r="V18" s="505"/>
      <c r="W18" s="505"/>
      <c r="X18" s="505"/>
      <c r="Y18" s="505"/>
      <c r="Z18" s="505"/>
      <c r="AA18" s="505"/>
      <c r="AB18" s="74"/>
      <c r="AC18" s="74"/>
      <c r="AD18" s="74"/>
    </row>
    <row r="19" spans="1:31" s="12" customFormat="1" ht="15.75">
      <c r="A19" s="99"/>
      <c r="B19" s="292"/>
      <c r="C19" s="594" t="s">
        <v>4</v>
      </c>
      <c r="D19" s="595"/>
      <c r="E19" s="595"/>
      <c r="F19" s="591" t="s">
        <v>935</v>
      </c>
      <c r="G19" s="592"/>
      <c r="H19" s="592"/>
      <c r="I19" s="593"/>
      <c r="J19" s="13"/>
      <c r="K19" s="13"/>
      <c r="L19" s="300"/>
      <c r="M19"/>
      <c r="N19" s="508"/>
      <c r="O19" s="505"/>
      <c r="P19" s="505"/>
      <c r="Q19" s="505"/>
      <c r="R19" s="505"/>
      <c r="S19" s="505"/>
      <c r="T19" s="505"/>
      <c r="U19" s="505"/>
      <c r="V19" s="505"/>
      <c r="W19" s="505"/>
      <c r="X19" s="505"/>
      <c r="Y19" s="505"/>
      <c r="Z19" s="505"/>
      <c r="AA19" s="505"/>
      <c r="AB19" s="74"/>
      <c r="AC19" s="74"/>
      <c r="AD19" s="74"/>
    </row>
    <row r="20" spans="1:31" s="12" customFormat="1" ht="17.25" customHeight="1">
      <c r="A20" s="99"/>
      <c r="B20" s="292"/>
      <c r="C20" s="594" t="s">
        <v>5</v>
      </c>
      <c r="D20" s="595"/>
      <c r="E20" s="595"/>
      <c r="F20" s="591" t="s">
        <v>936</v>
      </c>
      <c r="G20" s="592"/>
      <c r="H20" s="592"/>
      <c r="I20" s="593"/>
      <c r="J20" s="13"/>
      <c r="K20" s="13"/>
      <c r="L20" s="300"/>
      <c r="M20"/>
      <c r="N20" s="508"/>
      <c r="O20" s="505"/>
      <c r="P20" s="505"/>
      <c r="Q20" s="505"/>
      <c r="R20" s="505"/>
      <c r="S20" s="505"/>
      <c r="T20" s="505"/>
      <c r="U20" s="505"/>
      <c r="V20" s="505"/>
      <c r="W20" s="505"/>
      <c r="X20" s="505"/>
      <c r="Y20" s="505"/>
      <c r="Z20" s="505"/>
      <c r="AA20" s="505"/>
      <c r="AB20" s="74"/>
      <c r="AC20" s="74"/>
      <c r="AD20" s="74"/>
    </row>
    <row r="21" spans="1:31" s="12" customFormat="1" ht="17.25" customHeight="1">
      <c r="A21" s="99"/>
      <c r="B21" s="292"/>
      <c r="C21" s="594" t="s">
        <v>6</v>
      </c>
      <c r="D21" s="595"/>
      <c r="E21" s="595"/>
      <c r="F21" s="632" t="s">
        <v>937</v>
      </c>
      <c r="G21" s="592"/>
      <c r="H21" s="592"/>
      <c r="I21" s="593"/>
      <c r="J21" s="13"/>
      <c r="K21" s="13"/>
      <c r="L21" s="300"/>
      <c r="M21"/>
      <c r="N21" s="508"/>
      <c r="O21" s="505"/>
      <c r="P21" s="505"/>
      <c r="Q21" s="505"/>
      <c r="R21" s="505"/>
      <c r="S21" s="505"/>
      <c r="T21" s="505"/>
      <c r="U21" s="505"/>
      <c r="V21" s="505"/>
      <c r="W21" s="505"/>
      <c r="X21" s="505"/>
      <c r="Y21" s="505"/>
      <c r="Z21" s="505"/>
      <c r="AA21" s="505"/>
      <c r="AB21" s="74"/>
      <c r="AC21" s="74"/>
      <c r="AD21" s="74"/>
      <c r="AE21" s="74"/>
    </row>
    <row r="22" spans="1:31" s="12" customFormat="1" ht="17.25" customHeight="1" thickBot="1">
      <c r="A22" s="100"/>
      <c r="B22" s="101"/>
      <c r="C22" s="101"/>
      <c r="D22" s="101"/>
      <c r="E22" s="101"/>
      <c r="F22" s="101"/>
      <c r="G22" s="101"/>
      <c r="H22" s="101"/>
      <c r="I22" s="14"/>
      <c r="J22" s="14"/>
      <c r="K22" s="14"/>
      <c r="L22" s="301"/>
      <c r="M22"/>
      <c r="N22" s="508"/>
      <c r="O22" s="505"/>
      <c r="P22" s="505"/>
      <c r="Q22" s="505"/>
      <c r="R22" s="505"/>
      <c r="S22" s="505"/>
      <c r="T22" s="505"/>
      <c r="U22" s="505"/>
      <c r="V22" s="505"/>
      <c r="W22" s="505"/>
      <c r="X22" s="505"/>
      <c r="Y22" s="505"/>
      <c r="Z22" s="505"/>
      <c r="AA22" s="505"/>
      <c r="AB22" s="74"/>
      <c r="AC22" s="74"/>
      <c r="AD22" s="74"/>
      <c r="AE22" s="74"/>
    </row>
    <row r="23" spans="1:31" s="12" customFormat="1" ht="17.25" customHeight="1">
      <c r="A23" s="202"/>
      <c r="B23" s="273" t="s">
        <v>848</v>
      </c>
      <c r="C23" s="203"/>
      <c r="D23" s="203"/>
      <c r="E23" s="203"/>
      <c r="F23" s="203"/>
      <c r="G23" s="203"/>
      <c r="H23" s="203"/>
      <c r="I23" s="203"/>
      <c r="J23" s="203"/>
      <c r="K23" s="203"/>
      <c r="L23" s="204"/>
      <c r="M23"/>
      <c r="N23" s="508"/>
      <c r="O23" s="505"/>
      <c r="P23" s="505"/>
      <c r="Q23" s="505"/>
      <c r="R23" s="505"/>
      <c r="S23" s="505"/>
      <c r="T23" s="505"/>
      <c r="U23" s="505"/>
      <c r="V23" s="505"/>
      <c r="W23" s="505"/>
      <c r="X23" s="505"/>
      <c r="Y23" s="505"/>
      <c r="Z23" s="505"/>
      <c r="AA23" s="505"/>
      <c r="AB23" s="74"/>
      <c r="AC23" s="74"/>
      <c r="AD23" s="74"/>
      <c r="AE23" s="74"/>
    </row>
    <row r="24" spans="1:31" s="12" customFormat="1" ht="15" customHeight="1">
      <c r="A24" s="205"/>
      <c r="B24" s="206"/>
      <c r="C24" s="206"/>
      <c r="D24" s="206"/>
      <c r="E24" s="206"/>
      <c r="F24" s="206"/>
      <c r="G24" s="206"/>
      <c r="H24" s="206"/>
      <c r="I24" s="206"/>
      <c r="J24" s="206"/>
      <c r="K24" s="206"/>
      <c r="L24" s="207"/>
      <c r="M24"/>
      <c r="N24" s="508"/>
      <c r="O24" s="505"/>
      <c r="P24" s="505"/>
      <c r="Q24" s="505"/>
      <c r="R24" s="505"/>
      <c r="S24" s="505"/>
      <c r="T24" s="505"/>
      <c r="U24" s="505"/>
      <c r="V24" s="505"/>
      <c r="W24" s="505"/>
      <c r="X24" s="505"/>
      <c r="Y24" s="505"/>
      <c r="Z24" s="505"/>
      <c r="AA24" s="505"/>
      <c r="AB24" s="74"/>
      <c r="AC24" s="74"/>
      <c r="AD24" s="74"/>
      <c r="AE24" s="74"/>
    </row>
    <row r="25" spans="1:31" s="12" customFormat="1" ht="15.75">
      <c r="A25" s="90"/>
      <c r="B25" s="117" t="s">
        <v>691</v>
      </c>
      <c r="C25" s="125"/>
      <c r="D25" s="125"/>
      <c r="E25" s="125"/>
      <c r="F25" s="125"/>
      <c r="G25" s="24"/>
      <c r="H25" s="24"/>
      <c r="I25" s="126"/>
      <c r="J25" s="126"/>
      <c r="K25" s="126"/>
      <c r="L25" s="84"/>
      <c r="M25"/>
      <c r="N25" s="508"/>
      <c r="O25" s="505"/>
      <c r="P25" s="505"/>
      <c r="Q25" s="505"/>
      <c r="R25" s="505"/>
      <c r="S25" s="505"/>
      <c r="T25" s="505"/>
      <c r="U25" s="505"/>
      <c r="V25" s="505"/>
      <c r="W25" s="505"/>
      <c r="X25" s="505"/>
      <c r="Y25" s="505"/>
      <c r="Z25" s="505"/>
      <c r="AA25" s="505"/>
      <c r="AB25" s="74"/>
      <c r="AC25" s="74"/>
      <c r="AD25" s="74"/>
      <c r="AE25" s="74"/>
    </row>
    <row r="26" spans="1:31" ht="16.5">
      <c r="A26" s="90"/>
      <c r="B26" s="117" t="s">
        <v>16</v>
      </c>
      <c r="C26" s="117"/>
      <c r="D26" s="117"/>
      <c r="E26" s="117"/>
      <c r="F26" s="117"/>
      <c r="G26" s="24"/>
      <c r="H26" s="24"/>
      <c r="I26" s="126"/>
      <c r="J26" s="126"/>
      <c r="K26" s="126"/>
      <c r="L26" s="84"/>
      <c r="M26" s="277"/>
      <c r="N26" s="509"/>
      <c r="O26" s="509"/>
      <c r="P26" s="509"/>
      <c r="Q26" s="509"/>
      <c r="R26" s="509"/>
      <c r="S26" s="509"/>
      <c r="T26" s="509"/>
      <c r="U26" s="509"/>
      <c r="V26" s="509"/>
      <c r="W26" s="509"/>
      <c r="X26" s="509"/>
      <c r="Y26" s="509"/>
      <c r="Z26" s="509"/>
      <c r="AA26" s="509"/>
      <c r="AB26" s="75"/>
      <c r="AC26" s="75"/>
    </row>
    <row r="27" spans="1:31" ht="15.75">
      <c r="A27" s="90"/>
      <c r="B27" s="117"/>
      <c r="C27" s="117"/>
      <c r="D27" s="117"/>
      <c r="E27" s="117"/>
      <c r="F27" s="125"/>
      <c r="G27" s="24"/>
      <c r="H27" s="24"/>
      <c r="I27" s="126"/>
      <c r="J27" s="126"/>
      <c r="K27" s="126"/>
      <c r="L27" s="84"/>
      <c r="M27" s="278"/>
    </row>
    <row r="28" spans="1:31" ht="15.75">
      <c r="A28" s="82"/>
      <c r="B28" s="132" t="s">
        <v>924</v>
      </c>
      <c r="C28" s="117"/>
      <c r="D28" s="117"/>
      <c r="E28" s="117"/>
      <c r="F28" s="125"/>
      <c r="G28" s="24"/>
      <c r="H28" s="24"/>
      <c r="I28" s="126"/>
      <c r="J28" s="126"/>
      <c r="K28" s="126"/>
      <c r="L28" s="84"/>
      <c r="M28" s="278"/>
    </row>
    <row r="29" spans="1:31" ht="15.75">
      <c r="A29" s="82"/>
      <c r="B29" s="132"/>
      <c r="C29" s="117"/>
      <c r="D29" s="117"/>
      <c r="E29" s="117"/>
      <c r="F29" s="125"/>
      <c r="G29" s="24"/>
      <c r="H29" s="24"/>
      <c r="I29" s="126"/>
      <c r="J29" s="126"/>
      <c r="K29" s="126"/>
      <c r="L29" s="84"/>
      <c r="M29" s="278"/>
    </row>
    <row r="30" spans="1:31" ht="15.75">
      <c r="A30" s="90"/>
      <c r="B30" s="117"/>
      <c r="C30" s="117"/>
      <c r="D30" s="117"/>
      <c r="E30" s="117"/>
      <c r="F30" s="125"/>
      <c r="G30" s="24"/>
      <c r="H30" s="24"/>
      <c r="I30" s="126" t="s">
        <v>694</v>
      </c>
      <c r="J30" s="126"/>
      <c r="K30" s="126" t="s">
        <v>696</v>
      </c>
      <c r="L30" s="84"/>
      <c r="M30" s="278"/>
    </row>
    <row r="31" spans="1:31" ht="15.75">
      <c r="A31" s="90"/>
      <c r="B31" s="117"/>
      <c r="C31" s="117"/>
      <c r="D31" s="117"/>
      <c r="E31" s="117"/>
      <c r="F31" s="83"/>
      <c r="G31" s="83"/>
      <c r="H31" s="83"/>
      <c r="I31" s="126" t="s">
        <v>695</v>
      </c>
      <c r="J31" s="126"/>
      <c r="K31" s="126" t="s">
        <v>697</v>
      </c>
      <c r="L31" s="84"/>
      <c r="M31" s="278"/>
    </row>
    <row r="32" spans="1:31" ht="18.75" thickBot="1">
      <c r="A32" s="127"/>
      <c r="B32" s="228" t="s">
        <v>9</v>
      </c>
      <c r="C32" s="83"/>
      <c r="D32" s="83"/>
      <c r="E32" s="83"/>
      <c r="F32" s="83"/>
      <c r="G32" s="83"/>
      <c r="H32" s="83"/>
      <c r="I32" s="128" t="s">
        <v>10</v>
      </c>
      <c r="J32" s="126"/>
      <c r="K32" s="128" t="s">
        <v>10</v>
      </c>
      <c r="L32" s="84"/>
      <c r="M32" s="278"/>
    </row>
    <row r="33" spans="1:22" ht="21" thickBot="1">
      <c r="A33" s="82"/>
      <c r="B33" s="132" t="s">
        <v>925</v>
      </c>
      <c r="C33" s="117"/>
      <c r="D33" s="117"/>
      <c r="E33" s="117"/>
      <c r="F33" s="126"/>
      <c r="G33" s="126"/>
      <c r="H33" s="126"/>
      <c r="I33" s="533">
        <v>39562</v>
      </c>
      <c r="J33" s="534"/>
      <c r="K33" s="533">
        <v>21898</v>
      </c>
      <c r="L33" s="84"/>
      <c r="M33" s="276"/>
      <c r="P33" s="508">
        <f>IF(AND(I33&gt;=0,I33&lt;300000),0,1)</f>
        <v>0</v>
      </c>
      <c r="V33" s="508">
        <f>IF(AND(K33&gt;=0,K33&lt;1100000),0,1)</f>
        <v>0</v>
      </c>
    </row>
    <row r="34" spans="1:22" ht="16.5" thickBot="1">
      <c r="A34" s="82"/>
      <c r="B34" s="118"/>
      <c r="C34" s="118"/>
      <c r="D34" s="118"/>
      <c r="E34" s="118"/>
      <c r="F34" s="118"/>
      <c r="G34" s="24"/>
      <c r="H34" s="83"/>
      <c r="I34" s="534"/>
      <c r="J34" s="534"/>
      <c r="K34" s="534"/>
      <c r="L34" s="84"/>
      <c r="M34" s="276"/>
    </row>
    <row r="35" spans="1:22" ht="21" thickBot="1">
      <c r="A35" s="82"/>
      <c r="B35" s="117" t="s">
        <v>849</v>
      </c>
      <c r="C35" s="117"/>
      <c r="D35" s="117"/>
      <c r="E35" s="117"/>
      <c r="F35" s="24"/>
      <c r="G35" s="24"/>
      <c r="H35" s="83"/>
      <c r="I35" s="533">
        <v>479</v>
      </c>
      <c r="J35" s="534"/>
      <c r="K35" s="533">
        <v>21</v>
      </c>
      <c r="L35" s="84"/>
      <c r="M35" s="276"/>
      <c r="P35" s="508">
        <f>IF(AND(I35&gt;=0,I35&lt;30000),0,1)</f>
        <v>0</v>
      </c>
      <c r="V35" s="508">
        <f>IF(AND(K35&gt;=0,K35&lt;30000),0,1)</f>
        <v>0</v>
      </c>
    </row>
    <row r="36" spans="1:22" ht="16.5" thickBot="1">
      <c r="A36" s="90"/>
      <c r="B36" s="117"/>
      <c r="C36" s="117"/>
      <c r="D36" s="117"/>
      <c r="E36" s="117"/>
      <c r="F36" s="24"/>
      <c r="G36" s="24"/>
      <c r="H36" s="83"/>
      <c r="I36" s="534"/>
      <c r="J36" s="534"/>
      <c r="K36" s="534"/>
      <c r="L36" s="84"/>
      <c r="M36" s="276"/>
    </row>
    <row r="37" spans="1:22" ht="21" thickBot="1">
      <c r="A37" s="82"/>
      <c r="B37" s="117" t="s">
        <v>850</v>
      </c>
      <c r="C37" s="117"/>
      <c r="D37" s="117"/>
      <c r="E37" s="117"/>
      <c r="F37" s="24"/>
      <c r="G37" s="24"/>
      <c r="H37" s="83"/>
      <c r="I37" s="535">
        <v>37633</v>
      </c>
      <c r="J37" s="534"/>
      <c r="K37" s="535">
        <v>21402</v>
      </c>
      <c r="L37" s="84"/>
      <c r="M37" s="276"/>
      <c r="P37" s="508">
        <f>IF(AND(I37&gt;=0,I37&lt;300000),0,1)</f>
        <v>0</v>
      </c>
      <c r="V37" s="508">
        <f>IF(AND(K37&gt;=0,K37&lt;1100000),0,1)</f>
        <v>0</v>
      </c>
    </row>
    <row r="38" spans="1:22" ht="16.5" thickBot="1">
      <c r="A38" s="82"/>
      <c r="B38" s="117"/>
      <c r="C38" s="117"/>
      <c r="D38" s="117"/>
      <c r="E38" s="117"/>
      <c r="F38" s="24"/>
      <c r="G38" s="24"/>
      <c r="H38" s="83"/>
      <c r="I38" s="534"/>
      <c r="J38" s="534"/>
      <c r="K38" s="534"/>
      <c r="L38" s="84"/>
      <c r="M38" s="276"/>
    </row>
    <row r="39" spans="1:22" ht="21.75" thickTop="1" thickBot="1">
      <c r="A39" s="90"/>
      <c r="B39" s="117" t="s">
        <v>851</v>
      </c>
      <c r="C39" s="117"/>
      <c r="D39" s="117"/>
      <c r="E39" s="117"/>
      <c r="F39" s="24"/>
      <c r="G39" s="24"/>
      <c r="H39" s="83"/>
      <c r="I39" s="536">
        <f>I35+I37</f>
        <v>38112</v>
      </c>
      <c r="J39" s="534"/>
      <c r="K39" s="536">
        <f>K35+K37</f>
        <v>21423</v>
      </c>
      <c r="L39" s="84"/>
      <c r="M39" s="276"/>
    </row>
    <row r="40" spans="1:22" ht="21" thickTop="1">
      <c r="A40" s="130"/>
      <c r="B40" s="131"/>
      <c r="C40" s="131"/>
      <c r="D40" s="131"/>
      <c r="E40" s="131"/>
      <c r="F40" s="83"/>
      <c r="G40" s="83"/>
      <c r="H40" s="83"/>
      <c r="I40" s="537"/>
      <c r="J40" s="538"/>
      <c r="K40" s="537"/>
      <c r="L40" s="84"/>
      <c r="M40" s="276"/>
    </row>
    <row r="41" spans="1:22" ht="16.5" thickBot="1">
      <c r="A41" s="82"/>
      <c r="B41" s="131"/>
      <c r="C41" s="131"/>
      <c r="D41" s="131"/>
      <c r="E41" s="131"/>
      <c r="F41" s="83"/>
      <c r="G41" s="83"/>
      <c r="H41" s="83"/>
      <c r="I41" s="539" t="s">
        <v>11</v>
      </c>
      <c r="J41" s="538"/>
      <c r="K41" s="539" t="s">
        <v>11</v>
      </c>
      <c r="L41" s="84"/>
      <c r="M41" s="276"/>
    </row>
    <row r="42" spans="1:22" ht="21.75" thickTop="1" thickBot="1">
      <c r="A42" s="82"/>
      <c r="B42" s="132" t="s">
        <v>852</v>
      </c>
      <c r="C42" s="132"/>
      <c r="D42" s="132"/>
      <c r="E42" s="132"/>
      <c r="F42" s="83"/>
      <c r="G42" s="83"/>
      <c r="H42" s="83"/>
      <c r="I42" s="540">
        <f>ROUND(I39/I33*100,2)</f>
        <v>96.33</v>
      </c>
      <c r="J42" s="544"/>
      <c r="K42" s="540">
        <f>ROUND(K39/K33*100,2)</f>
        <v>97.83</v>
      </c>
      <c r="L42" s="84"/>
      <c r="M42" s="276"/>
    </row>
    <row r="43" spans="1:22" ht="16.5" thickTop="1">
      <c r="A43" s="90"/>
      <c r="B43" s="215" t="s">
        <v>12</v>
      </c>
      <c r="C43" s="133"/>
      <c r="D43" s="133"/>
      <c r="E43" s="133"/>
      <c r="F43" s="83"/>
      <c r="G43" s="83"/>
      <c r="H43" s="83"/>
      <c r="I43" s="539"/>
      <c r="J43" s="538"/>
      <c r="K43" s="539"/>
      <c r="L43" s="84"/>
      <c r="M43" s="276"/>
    </row>
    <row r="44" spans="1:22" ht="16.5" thickBot="1">
      <c r="A44" s="90"/>
      <c r="B44" s="83"/>
      <c r="C44" s="83"/>
      <c r="D44" s="83"/>
      <c r="E44" s="83"/>
      <c r="F44" s="83"/>
      <c r="G44" s="83"/>
      <c r="H44" s="83"/>
      <c r="I44" s="541" t="s">
        <v>10</v>
      </c>
      <c r="J44" s="538"/>
      <c r="K44" s="541" t="s">
        <v>10</v>
      </c>
      <c r="L44" s="84"/>
      <c r="M44" s="276"/>
    </row>
    <row r="45" spans="1:22" ht="21" thickBot="1">
      <c r="A45" s="82"/>
      <c r="B45" s="5" t="s">
        <v>853</v>
      </c>
      <c r="C45" s="117"/>
      <c r="D45" s="117"/>
      <c r="E45" s="117"/>
      <c r="F45" s="83"/>
      <c r="G45" s="83"/>
      <c r="H45" s="83"/>
      <c r="I45" s="533">
        <v>737</v>
      </c>
      <c r="J45" s="538"/>
      <c r="K45" s="533">
        <v>342</v>
      </c>
      <c r="L45" s="84"/>
      <c r="M45" s="276"/>
      <c r="P45" s="508">
        <f>IF(I45&gt;=0,0,1)</f>
        <v>0</v>
      </c>
      <c r="V45" s="508">
        <f>IF(K45&gt;=0,0,1)</f>
        <v>0</v>
      </c>
    </row>
    <row r="46" spans="1:22" ht="16.5" thickBot="1">
      <c r="A46" s="90"/>
      <c r="B46" s="222" t="s">
        <v>731</v>
      </c>
      <c r="C46" s="24"/>
      <c r="D46" s="24"/>
      <c r="E46" s="24"/>
      <c r="F46" s="83"/>
      <c r="G46" s="83"/>
      <c r="H46" s="83"/>
      <c r="I46" s="539"/>
      <c r="J46" s="538"/>
      <c r="K46" s="539"/>
      <c r="L46" s="84"/>
      <c r="M46" s="276"/>
    </row>
    <row r="47" spans="1:22" ht="21" thickBot="1">
      <c r="A47" s="82"/>
      <c r="B47" s="107" t="s">
        <v>854</v>
      </c>
      <c r="C47" s="24"/>
      <c r="D47" s="24"/>
      <c r="E47" s="24"/>
      <c r="F47" s="83"/>
      <c r="G47" s="83"/>
      <c r="H47" s="83"/>
      <c r="I47" s="533">
        <v>540</v>
      </c>
      <c r="J47" s="538"/>
      <c r="K47" s="533">
        <v>220</v>
      </c>
      <c r="L47" s="84"/>
      <c r="M47" s="276"/>
      <c r="P47" s="508">
        <f>IF(I47&gt;=0,0,1)</f>
        <v>0</v>
      </c>
      <c r="V47" s="508">
        <f>IF(K47&gt;=0,0,1)</f>
        <v>0</v>
      </c>
    </row>
    <row r="48" spans="1:22" ht="16.5" thickBot="1">
      <c r="A48" s="82"/>
      <c r="B48" s="222" t="s">
        <v>855</v>
      </c>
      <c r="C48" s="24"/>
      <c r="D48" s="24"/>
      <c r="E48" s="24"/>
      <c r="F48" s="83"/>
      <c r="G48" s="83"/>
      <c r="H48" s="83"/>
      <c r="I48" s="539"/>
      <c r="J48" s="538"/>
      <c r="K48" s="539"/>
      <c r="L48" s="84"/>
      <c r="M48" s="276"/>
    </row>
    <row r="49" spans="1:24" ht="21.75" thickTop="1" thickBot="1">
      <c r="A49" s="90"/>
      <c r="B49" s="91" t="s">
        <v>856</v>
      </c>
      <c r="C49" s="24"/>
      <c r="D49" s="24"/>
      <c r="E49" s="24"/>
      <c r="F49" s="83"/>
      <c r="G49" s="83"/>
      <c r="H49" s="83"/>
      <c r="I49" s="536">
        <f>+I37+I45+I47</f>
        <v>38910</v>
      </c>
      <c r="J49" s="538"/>
      <c r="K49" s="536">
        <f>+K37+K45+K47</f>
        <v>21964</v>
      </c>
      <c r="L49" s="84"/>
      <c r="M49" s="276"/>
    </row>
    <row r="50" spans="1:24" ht="16.5" thickTop="1">
      <c r="A50" s="82"/>
      <c r="B50" s="216" t="s">
        <v>732</v>
      </c>
      <c r="C50" s="83"/>
      <c r="D50" s="83"/>
      <c r="E50" s="83"/>
      <c r="F50" s="83"/>
      <c r="G50" s="83"/>
      <c r="H50" s="83"/>
      <c r="I50" s="539"/>
      <c r="J50" s="538"/>
      <c r="K50" s="539"/>
      <c r="L50" s="84"/>
      <c r="M50" s="276"/>
    </row>
    <row r="51" spans="1:24" ht="15.75">
      <c r="A51" s="82"/>
      <c r="B51" s="83"/>
      <c r="C51" s="83"/>
      <c r="D51" s="83"/>
      <c r="E51" s="83"/>
      <c r="F51" s="83"/>
      <c r="G51" s="83"/>
      <c r="H51" s="83"/>
      <c r="I51" s="539"/>
      <c r="J51" s="538"/>
      <c r="K51" s="539"/>
      <c r="L51" s="84"/>
      <c r="M51" s="276"/>
    </row>
    <row r="52" spans="1:24" ht="18">
      <c r="A52" s="127"/>
      <c r="B52" s="228" t="s">
        <v>13</v>
      </c>
      <c r="C52" s="83"/>
      <c r="D52" s="83"/>
      <c r="E52" s="83"/>
      <c r="F52" s="83"/>
      <c r="G52" s="83"/>
      <c r="H52" s="83"/>
      <c r="I52" s="539"/>
      <c r="J52" s="538"/>
      <c r="K52" s="539"/>
      <c r="L52" s="84"/>
      <c r="M52" s="276"/>
    </row>
    <row r="53" spans="1:24" ht="15.75">
      <c r="A53" s="90"/>
      <c r="B53" s="117" t="s">
        <v>692</v>
      </c>
      <c r="C53" s="83"/>
      <c r="D53" s="83"/>
      <c r="E53" s="83"/>
      <c r="F53" s="83"/>
      <c r="G53" s="83"/>
      <c r="H53" s="83"/>
      <c r="I53" s="539"/>
      <c r="J53" s="538"/>
      <c r="K53" s="539"/>
      <c r="L53" s="84"/>
      <c r="M53" s="276"/>
    </row>
    <row r="54" spans="1:24" ht="15.75">
      <c r="A54" s="90"/>
      <c r="B54" s="117" t="s">
        <v>857</v>
      </c>
      <c r="C54" s="83"/>
      <c r="D54" s="83"/>
      <c r="E54" s="83"/>
      <c r="F54" s="83"/>
      <c r="G54" s="83"/>
      <c r="H54" s="83"/>
      <c r="I54" s="539"/>
      <c r="J54" s="538"/>
      <c r="K54" s="539"/>
      <c r="L54" s="84"/>
      <c r="M54" s="276"/>
    </row>
    <row r="55" spans="1:24" ht="15.75">
      <c r="A55" s="90"/>
      <c r="B55" s="117"/>
      <c r="C55" s="83"/>
      <c r="D55" s="83"/>
      <c r="E55" s="83"/>
      <c r="F55" s="83"/>
      <c r="G55" s="83"/>
      <c r="H55" s="83"/>
      <c r="I55" s="539"/>
      <c r="J55" s="538"/>
      <c r="K55" s="539"/>
      <c r="L55" s="84"/>
      <c r="M55" s="276"/>
    </row>
    <row r="56" spans="1:24" ht="15.75">
      <c r="A56" s="134"/>
      <c r="B56" s="229" t="s">
        <v>858</v>
      </c>
      <c r="C56" s="83"/>
      <c r="D56" s="83"/>
      <c r="E56" s="83"/>
      <c r="F56" s="83"/>
      <c r="G56" s="83"/>
      <c r="H56" s="83"/>
      <c r="I56" s="539"/>
      <c r="J56" s="538"/>
      <c r="K56" s="539"/>
      <c r="L56" s="84"/>
      <c r="M56" s="276"/>
    </row>
    <row r="57" spans="1:24" ht="15.75">
      <c r="A57" s="134"/>
      <c r="B57" s="229" t="s">
        <v>713</v>
      </c>
      <c r="C57" s="83"/>
      <c r="D57" s="83"/>
      <c r="E57" s="83"/>
      <c r="F57" s="83"/>
      <c r="G57" s="83"/>
      <c r="H57" s="83"/>
      <c r="I57" s="539"/>
      <c r="J57" s="538"/>
      <c r="K57" s="539"/>
      <c r="L57" s="84"/>
      <c r="M57" s="276"/>
    </row>
    <row r="58" spans="1:24" ht="16.5" thickBot="1">
      <c r="A58" s="134"/>
      <c r="B58" s="229"/>
      <c r="C58" s="83"/>
      <c r="D58" s="83"/>
      <c r="E58" s="83"/>
      <c r="F58" s="83"/>
      <c r="G58" s="83"/>
      <c r="H58" s="83"/>
      <c r="I58" s="541" t="s">
        <v>10</v>
      </c>
      <c r="J58" s="538"/>
      <c r="K58" s="541" t="s">
        <v>10</v>
      </c>
      <c r="L58" s="84"/>
      <c r="M58" s="276"/>
      <c r="P58" s="511" t="s">
        <v>773</v>
      </c>
      <c r="R58" s="511" t="s">
        <v>775</v>
      </c>
      <c r="V58" s="511" t="s">
        <v>774</v>
      </c>
      <c r="X58" s="511" t="s">
        <v>776</v>
      </c>
    </row>
    <row r="59" spans="1:24" ht="21" thickBot="1">
      <c r="A59" s="82"/>
      <c r="B59" s="217" t="s">
        <v>859</v>
      </c>
      <c r="C59" s="135"/>
      <c r="D59" s="135"/>
      <c r="E59" s="135"/>
      <c r="F59" s="83"/>
      <c r="G59" s="83"/>
      <c r="H59" s="83"/>
      <c r="I59" s="542">
        <v>13406</v>
      </c>
      <c r="J59" s="538"/>
      <c r="K59" s="542">
        <v>8171</v>
      </c>
      <c r="L59" s="84"/>
      <c r="M59" s="276"/>
      <c r="N59" s="508">
        <f ca="1">Validation!O14</f>
        <v>0</v>
      </c>
      <c r="P59" s="508">
        <f>IF(I59&gt;=0,0,1)</f>
        <v>0</v>
      </c>
      <c r="R59" s="508">
        <f ca="1">IF(ISNUMBER(Validation!E18),1,0)</f>
        <v>0</v>
      </c>
      <c r="V59" s="508">
        <f>IF(K59&gt;=0,0,1)</f>
        <v>0</v>
      </c>
      <c r="X59" s="508">
        <f ca="1">IF(ISNUMBER(Validation!F18),1,0)</f>
        <v>0</v>
      </c>
    </row>
    <row r="60" spans="1:24" ht="16.5" thickBot="1">
      <c r="A60" s="82"/>
      <c r="B60" s="24"/>
      <c r="C60" s="24"/>
      <c r="D60" s="24"/>
      <c r="E60" s="24"/>
      <c r="F60" s="83"/>
      <c r="G60" s="83"/>
      <c r="H60" s="83"/>
      <c r="I60" s="539"/>
      <c r="J60" s="538"/>
      <c r="K60" s="539"/>
      <c r="L60" s="84"/>
      <c r="M60" s="276"/>
    </row>
    <row r="61" spans="1:24" ht="21" thickBot="1">
      <c r="A61" s="82"/>
      <c r="B61" s="217" t="s">
        <v>860</v>
      </c>
      <c r="C61" s="135"/>
      <c r="D61" s="135"/>
      <c r="E61" s="135"/>
      <c r="F61" s="83"/>
      <c r="G61" s="83"/>
      <c r="H61" s="83"/>
      <c r="I61" s="543">
        <v>11131</v>
      </c>
      <c r="J61" s="538"/>
      <c r="K61" s="543">
        <v>5905</v>
      </c>
      <c r="L61" s="84"/>
      <c r="M61" s="276"/>
      <c r="N61" s="508">
        <f ca="1">Validation!O25</f>
        <v>0</v>
      </c>
      <c r="P61" s="508">
        <f>IF(I61&gt;=0,0,1)</f>
        <v>0</v>
      </c>
      <c r="R61" s="508">
        <f ca="1">IF(ISNUMBER(Validation!E29),1,0)</f>
        <v>0</v>
      </c>
      <c r="V61" s="508">
        <f>IF(K61&gt;=0,0,1)</f>
        <v>0</v>
      </c>
      <c r="X61" s="508">
        <f ca="1">IF(ISNUMBER(Validation!F29),1,0)</f>
        <v>0</v>
      </c>
    </row>
    <row r="62" spans="1:24" ht="16.5" thickBot="1">
      <c r="A62" s="130"/>
      <c r="B62" s="24"/>
      <c r="C62" s="24"/>
      <c r="D62" s="24"/>
      <c r="E62" s="24"/>
      <c r="F62" s="83"/>
      <c r="G62" s="83"/>
      <c r="H62" s="83"/>
      <c r="I62" s="539"/>
      <c r="J62" s="538"/>
      <c r="K62" s="539"/>
      <c r="L62" s="84"/>
      <c r="M62" s="276"/>
    </row>
    <row r="63" spans="1:24" ht="21" thickBot="1">
      <c r="A63" s="82"/>
      <c r="B63" s="217" t="s">
        <v>861</v>
      </c>
      <c r="C63" s="135"/>
      <c r="D63" s="135"/>
      <c r="E63" s="135"/>
      <c r="F63" s="83"/>
      <c r="G63" s="83"/>
      <c r="H63" s="83"/>
      <c r="I63" s="543">
        <v>10905</v>
      </c>
      <c r="J63" s="538"/>
      <c r="K63" s="543">
        <v>5906</v>
      </c>
      <c r="L63" s="84"/>
      <c r="M63" s="276"/>
      <c r="N63" s="508">
        <f ca="1">Validation!O36</f>
        <v>0</v>
      </c>
      <c r="P63" s="508">
        <f>IF(I63&gt;=0,0,1)</f>
        <v>0</v>
      </c>
      <c r="R63" s="508">
        <f ca="1">IF(ISNUMBER(Validation!E40),1,0)</f>
        <v>0</v>
      </c>
      <c r="V63" s="508">
        <f>IF(K63&gt;=0,0,1)</f>
        <v>0</v>
      </c>
      <c r="X63" s="508">
        <f ca="1">IF(ISNUMBER(Validation!F40),1,0)</f>
        <v>0</v>
      </c>
    </row>
    <row r="64" spans="1:24" ht="16.5" thickBot="1">
      <c r="A64" s="82"/>
      <c r="B64" s="24"/>
      <c r="C64" s="24"/>
      <c r="D64" s="24"/>
      <c r="E64" s="24"/>
      <c r="F64" s="83"/>
      <c r="G64" s="83"/>
      <c r="H64" s="83"/>
      <c r="I64" s="539"/>
      <c r="J64" s="538"/>
      <c r="K64" s="539"/>
      <c r="L64" s="84"/>
      <c r="M64" s="276"/>
    </row>
    <row r="65" spans="1:16" ht="21" thickBot="1">
      <c r="A65" s="82"/>
      <c r="B65" s="217" t="s">
        <v>862</v>
      </c>
      <c r="C65" s="135"/>
      <c r="D65" s="135"/>
      <c r="E65" s="135"/>
      <c r="F65" s="83"/>
      <c r="G65" s="83"/>
      <c r="H65" s="83"/>
      <c r="I65" s="533">
        <v>3468</v>
      </c>
      <c r="J65" s="538"/>
      <c r="K65" s="533">
        <v>1982</v>
      </c>
      <c r="L65" s="84"/>
      <c r="M65" s="276"/>
    </row>
    <row r="66" spans="1:16" ht="15.75">
      <c r="A66" s="82"/>
      <c r="B66" s="83"/>
      <c r="C66" s="83"/>
      <c r="D66" s="83"/>
      <c r="E66" s="83"/>
      <c r="F66" s="83"/>
      <c r="G66" s="83"/>
      <c r="H66" s="83"/>
      <c r="I66" s="539"/>
      <c r="J66" s="538"/>
      <c r="K66" s="539"/>
      <c r="L66" s="84"/>
      <c r="M66" s="276"/>
    </row>
    <row r="67" spans="1:16" ht="15.75">
      <c r="A67" s="82"/>
      <c r="B67" s="24" t="s">
        <v>14</v>
      </c>
      <c r="C67" s="24"/>
      <c r="D67" s="24"/>
      <c r="E67" s="24"/>
      <c r="F67" s="83"/>
      <c r="G67" s="83"/>
      <c r="H67" s="83"/>
      <c r="I67" s="630" t="str">
        <f>IF(I59+I61+I63+I65=I49,"YES","NO - PLEASE CHECK THE CALCULATION")</f>
        <v>YES</v>
      </c>
      <c r="J67" s="538"/>
      <c r="K67" s="630" t="str">
        <f>IF(K59+K61+K63+K65=K49,"YES","NO - PLEASE CHECK THE CALCULATION")</f>
        <v>YES</v>
      </c>
      <c r="L67" s="84"/>
      <c r="M67" s="276"/>
    </row>
    <row r="68" spans="1:16" ht="15.75">
      <c r="A68" s="82"/>
      <c r="B68" s="24"/>
      <c r="C68" s="24"/>
      <c r="D68" s="24"/>
      <c r="E68" s="24"/>
      <c r="F68" s="83"/>
      <c r="G68" s="83"/>
      <c r="H68" s="83"/>
      <c r="I68" s="631"/>
      <c r="J68" s="538"/>
      <c r="K68" s="631"/>
      <c r="L68" s="84"/>
      <c r="M68" s="276"/>
    </row>
    <row r="69" spans="1:16" ht="15.75">
      <c r="A69" s="82"/>
      <c r="B69" s="83"/>
      <c r="C69" s="83"/>
      <c r="D69" s="83"/>
      <c r="E69" s="83"/>
      <c r="F69" s="83"/>
      <c r="G69" s="83"/>
      <c r="H69" s="83"/>
      <c r="I69" s="631"/>
      <c r="J69" s="538"/>
      <c r="K69" s="631"/>
      <c r="L69" s="84"/>
      <c r="M69" s="276"/>
      <c r="O69" s="512"/>
    </row>
    <row r="70" spans="1:16" ht="15.75">
      <c r="A70" s="82"/>
      <c r="B70" s="132" t="s">
        <v>15</v>
      </c>
      <c r="C70" s="83"/>
      <c r="D70" s="83"/>
      <c r="E70" s="83"/>
      <c r="F70" s="83"/>
      <c r="G70" s="83"/>
      <c r="H70" s="83"/>
      <c r="I70" s="541"/>
      <c r="J70" s="538"/>
      <c r="K70" s="539"/>
      <c r="L70" s="84"/>
      <c r="M70" s="276"/>
    </row>
    <row r="71" spans="1:16" ht="15.75">
      <c r="A71" s="82"/>
      <c r="B71" s="132" t="s">
        <v>920</v>
      </c>
      <c r="C71" s="83"/>
      <c r="D71" s="83"/>
      <c r="E71" s="83"/>
      <c r="F71" s="83"/>
      <c r="G71" s="83"/>
      <c r="H71" s="83"/>
      <c r="I71" s="83"/>
      <c r="J71" s="83"/>
      <c r="K71" s="539"/>
      <c r="L71" s="84"/>
      <c r="M71" s="274"/>
      <c r="P71" s="508">
        <f>IF(I71&gt;=0,0,1)</f>
        <v>0</v>
      </c>
    </row>
    <row r="72" spans="1:16" ht="15.75">
      <c r="A72" s="82"/>
      <c r="B72" s="24"/>
      <c r="C72" s="83"/>
      <c r="D72" s="83"/>
      <c r="E72" s="83"/>
      <c r="F72" s="83"/>
      <c r="G72" s="83"/>
      <c r="H72" s="83"/>
      <c r="I72" s="83"/>
      <c r="J72" s="83"/>
      <c r="K72" s="129"/>
      <c r="L72" s="84"/>
      <c r="M72" s="274"/>
    </row>
    <row r="73" spans="1:16" ht="16.5" thickBot="1">
      <c r="A73" s="119"/>
      <c r="B73" s="120"/>
      <c r="C73" s="120"/>
      <c r="D73" s="120"/>
      <c r="E73" s="120"/>
      <c r="F73" s="121"/>
      <c r="G73" s="120"/>
      <c r="H73" s="120"/>
      <c r="I73" s="120"/>
      <c r="J73" s="122"/>
      <c r="K73" s="123"/>
      <c r="L73" s="124"/>
      <c r="M73" s="274"/>
    </row>
    <row r="74" spans="1:16" ht="16.5" thickTop="1">
      <c r="A74" s="3"/>
      <c r="B74" s="132" t="s">
        <v>863</v>
      </c>
      <c r="C74" s="5"/>
      <c r="D74" s="5"/>
      <c r="E74" s="5"/>
      <c r="F74" s="107"/>
      <c r="G74" s="107"/>
      <c r="H74" s="107"/>
      <c r="I74" s="107"/>
      <c r="J74" s="107"/>
      <c r="K74" s="107"/>
      <c r="L74" s="87"/>
      <c r="M74" s="274"/>
    </row>
    <row r="75" spans="1:16" ht="16.5" thickBot="1">
      <c r="A75" s="3"/>
      <c r="B75" s="107"/>
      <c r="C75" s="107"/>
      <c r="D75" s="107"/>
      <c r="E75" s="5"/>
      <c r="F75" s="107"/>
      <c r="G75" s="107"/>
      <c r="H75" s="107"/>
      <c r="I75" s="107"/>
      <c r="J75" s="107"/>
      <c r="K75" s="107"/>
      <c r="L75" s="87"/>
      <c r="M75" s="274"/>
    </row>
    <row r="76" spans="1:16" ht="15.75">
      <c r="A76" s="3"/>
      <c r="B76" s="633" t="s">
        <v>7</v>
      </c>
      <c r="C76" s="634"/>
      <c r="D76" s="635"/>
      <c r="E76" s="5"/>
      <c r="F76" s="621" t="s">
        <v>8</v>
      </c>
      <c r="G76" s="622"/>
      <c r="H76" s="622"/>
      <c r="I76" s="622"/>
      <c r="J76" s="622"/>
      <c r="K76" s="623"/>
      <c r="L76" s="87"/>
      <c r="M76" s="274"/>
    </row>
    <row r="77" spans="1:16" ht="15.75">
      <c r="A77" s="3"/>
      <c r="B77" s="636"/>
      <c r="C77" s="637"/>
      <c r="D77" s="638"/>
      <c r="E77" s="5"/>
      <c r="F77" s="624"/>
      <c r="G77" s="625"/>
      <c r="H77" s="625"/>
      <c r="I77" s="625"/>
      <c r="J77" s="625"/>
      <c r="K77" s="626"/>
      <c r="L77" s="87"/>
      <c r="M77" s="274"/>
    </row>
    <row r="78" spans="1:16" ht="15.75">
      <c r="A78" s="3"/>
      <c r="B78" s="636"/>
      <c r="C78" s="637"/>
      <c r="D78" s="638"/>
      <c r="E78" s="5"/>
      <c r="F78" s="624"/>
      <c r="G78" s="625"/>
      <c r="H78" s="625"/>
      <c r="I78" s="625"/>
      <c r="J78" s="625"/>
      <c r="K78" s="626"/>
      <c r="L78" s="87"/>
      <c r="M78" s="274"/>
    </row>
    <row r="79" spans="1:16" ht="14.1" customHeight="1">
      <c r="A79" s="3"/>
      <c r="B79" s="636"/>
      <c r="C79" s="637"/>
      <c r="D79" s="638"/>
      <c r="E79" s="5"/>
      <c r="F79" s="624"/>
      <c r="G79" s="625"/>
      <c r="H79" s="625"/>
      <c r="I79" s="625"/>
      <c r="J79" s="625"/>
      <c r="K79" s="626"/>
      <c r="L79" s="87"/>
      <c r="M79" s="274"/>
    </row>
    <row r="80" spans="1:16" ht="14.1" customHeight="1">
      <c r="A80" s="3"/>
      <c r="B80" s="636"/>
      <c r="C80" s="637"/>
      <c r="D80" s="638"/>
      <c r="E80" s="5"/>
      <c r="F80" s="624"/>
      <c r="G80" s="625"/>
      <c r="H80" s="625"/>
      <c r="I80" s="625"/>
      <c r="J80" s="625"/>
      <c r="K80" s="626"/>
      <c r="L80" s="87"/>
      <c r="M80" s="274"/>
    </row>
    <row r="81" spans="1:27" ht="14.1" customHeight="1">
      <c r="A81" s="3"/>
      <c r="B81" s="636"/>
      <c r="C81" s="637"/>
      <c r="D81" s="638"/>
      <c r="E81" s="5"/>
      <c r="F81" s="624"/>
      <c r="G81" s="625"/>
      <c r="H81" s="625"/>
      <c r="I81" s="625"/>
      <c r="J81" s="625"/>
      <c r="K81" s="626"/>
      <c r="L81" s="87"/>
      <c r="M81" s="274"/>
    </row>
    <row r="82" spans="1:27" ht="14.1" customHeight="1">
      <c r="A82" s="3"/>
      <c r="B82" s="636"/>
      <c r="C82" s="637"/>
      <c r="D82" s="638"/>
      <c r="E82" s="5"/>
      <c r="F82" s="624"/>
      <c r="G82" s="625"/>
      <c r="H82" s="625"/>
      <c r="I82" s="625"/>
      <c r="J82" s="625"/>
      <c r="K82" s="626"/>
      <c r="L82" s="87"/>
      <c r="M82" s="274"/>
    </row>
    <row r="83" spans="1:27" ht="14.1" customHeight="1">
      <c r="A83" s="3"/>
      <c r="B83" s="636"/>
      <c r="C83" s="637"/>
      <c r="D83" s="638"/>
      <c r="E83" s="5"/>
      <c r="F83" s="624"/>
      <c r="G83" s="625"/>
      <c r="H83" s="625"/>
      <c r="I83" s="625"/>
      <c r="J83" s="625"/>
      <c r="K83" s="626"/>
      <c r="L83" s="87"/>
      <c r="M83" s="274"/>
    </row>
    <row r="84" spans="1:27" ht="14.1" customHeight="1" thickBot="1">
      <c r="A84" s="3"/>
      <c r="B84" s="639"/>
      <c r="C84" s="640"/>
      <c r="D84" s="641"/>
      <c r="E84" s="5"/>
      <c r="F84" s="627"/>
      <c r="G84" s="628"/>
      <c r="H84" s="628"/>
      <c r="I84" s="628"/>
      <c r="J84" s="628"/>
      <c r="K84" s="629"/>
      <c r="L84" s="87"/>
      <c r="M84" s="274"/>
    </row>
    <row r="85" spans="1:27" ht="14.1" customHeight="1" thickBot="1">
      <c r="A85" s="609" t="s">
        <v>693</v>
      </c>
      <c r="B85" s="610"/>
      <c r="C85" s="610"/>
      <c r="D85" s="610"/>
      <c r="E85" s="610"/>
      <c r="F85" s="610"/>
      <c r="G85" s="610"/>
      <c r="H85" s="610"/>
      <c r="I85" s="610"/>
      <c r="J85" s="610"/>
      <c r="K85" s="610"/>
      <c r="L85" s="611"/>
      <c r="M85" s="274"/>
    </row>
    <row r="86" spans="1:27" ht="6.75" customHeight="1">
      <c r="A86" s="283"/>
      <c r="B86" s="284"/>
      <c r="C86" s="284"/>
      <c r="D86" s="284"/>
      <c r="E86" s="284"/>
      <c r="F86" s="284"/>
      <c r="G86" s="284"/>
      <c r="H86" s="284"/>
      <c r="I86" s="284"/>
      <c r="J86" s="284"/>
      <c r="K86" s="284"/>
      <c r="L86" s="285"/>
      <c r="M86" s="274"/>
    </row>
    <row r="87" spans="1:27" ht="19.5" customHeight="1">
      <c r="A87" s="642" t="s">
        <v>700</v>
      </c>
      <c r="B87" s="643"/>
      <c r="C87" s="643"/>
      <c r="D87" s="643"/>
      <c r="E87" s="643"/>
      <c r="F87" s="643"/>
      <c r="G87" s="643"/>
      <c r="H87" s="643"/>
      <c r="I87" s="643"/>
      <c r="J87" s="643"/>
      <c r="K87" s="643"/>
      <c r="L87" s="644"/>
      <c r="M87" s="275"/>
    </row>
    <row r="88" spans="1:27" ht="46.5" customHeight="1">
      <c r="A88" s="642" t="s">
        <v>864</v>
      </c>
      <c r="B88" s="643"/>
      <c r="C88" s="643"/>
      <c r="D88" s="643"/>
      <c r="E88" s="643"/>
      <c r="F88" s="643"/>
      <c r="G88" s="643"/>
      <c r="H88" s="643"/>
      <c r="I88" s="643"/>
      <c r="J88" s="643"/>
      <c r="K88" s="643"/>
      <c r="L88" s="644"/>
      <c r="M88" s="275"/>
    </row>
    <row r="89" spans="1:27" ht="20.25" customHeight="1">
      <c r="A89" s="17"/>
      <c r="B89" s="103"/>
      <c r="C89" s="103"/>
      <c r="D89" s="103"/>
      <c r="E89" s="103"/>
      <c r="F89" s="104"/>
      <c r="G89" s="104"/>
      <c r="H89" s="104"/>
      <c r="I89" s="105"/>
      <c r="J89" s="105"/>
      <c r="K89" s="105"/>
      <c r="L89" s="106"/>
      <c r="N89" s="505"/>
      <c r="O89" s="505"/>
      <c r="P89" s="505"/>
      <c r="Q89" s="505"/>
      <c r="R89" s="505"/>
      <c r="S89" s="505"/>
      <c r="T89" s="506"/>
      <c r="U89" s="506"/>
      <c r="V89" s="506"/>
      <c r="W89" s="506"/>
      <c r="X89" s="506"/>
      <c r="Y89" s="506"/>
      <c r="Z89" s="506"/>
    </row>
    <row r="90" spans="1:27" s="12" customFormat="1" ht="15.75">
      <c r="A90" s="17"/>
      <c r="B90" s="218" t="str">
        <f>CONCATENATE("LA : ",F18)</f>
        <v>LA : Hastings</v>
      </c>
      <c r="C90" s="103"/>
      <c r="D90" s="103"/>
      <c r="E90" s="103"/>
      <c r="F90" s="104"/>
      <c r="G90" s="15"/>
      <c r="H90" s="104"/>
      <c r="I90" s="105"/>
      <c r="J90" s="105"/>
      <c r="K90" s="105"/>
      <c r="L90" s="448" t="str">
        <f ca="1">+Instructions!D13</f>
        <v>Ver 1.0</v>
      </c>
      <c r="M90" s="74"/>
      <c r="N90" s="505"/>
      <c r="O90" s="505"/>
      <c r="P90" s="505"/>
      <c r="Q90" s="505"/>
      <c r="R90" s="505"/>
      <c r="S90" s="505"/>
      <c r="T90" s="506"/>
      <c r="U90" s="506"/>
      <c r="V90" s="506"/>
      <c r="W90" s="506"/>
      <c r="X90" s="506"/>
      <c r="Y90" s="506"/>
      <c r="Z90" s="506"/>
      <c r="AA90" s="506"/>
    </row>
    <row r="91" spans="1:27" s="12" customFormat="1" ht="15.75">
      <c r="A91" s="17"/>
      <c r="B91" s="103"/>
      <c r="C91" s="103"/>
      <c r="D91" s="103"/>
      <c r="E91" s="103"/>
      <c r="F91" s="104"/>
      <c r="G91" s="15"/>
      <c r="H91" s="104"/>
      <c r="I91" s="105"/>
      <c r="J91" s="105"/>
      <c r="K91" s="105"/>
      <c r="L91" s="448"/>
      <c r="M91" s="276"/>
      <c r="N91" s="508"/>
      <c r="O91" s="508"/>
      <c r="P91" s="508"/>
      <c r="Q91" s="508"/>
      <c r="R91" s="508"/>
      <c r="S91" s="508"/>
      <c r="T91" s="508"/>
      <c r="U91" s="508"/>
      <c r="V91" s="508"/>
      <c r="W91" s="508"/>
      <c r="X91" s="508"/>
      <c r="Y91" s="508"/>
      <c r="Z91" s="508"/>
      <c r="AA91" s="506"/>
    </row>
    <row r="92" spans="1:27" ht="18.75" thickBot="1">
      <c r="A92" s="214"/>
      <c r="B92" s="447" t="s">
        <v>865</v>
      </c>
      <c r="C92" s="447"/>
      <c r="D92" s="447"/>
      <c r="E92" s="447"/>
      <c r="F92" s="447"/>
      <c r="G92" s="447"/>
      <c r="H92" s="447"/>
      <c r="I92" s="447"/>
      <c r="J92" s="447"/>
      <c r="K92" s="447"/>
      <c r="L92" s="272"/>
      <c r="M92" s="276"/>
    </row>
    <row r="93" spans="1:27" ht="18.75" thickBot="1">
      <c r="A93" s="645" t="s">
        <v>698</v>
      </c>
      <c r="B93" s="646"/>
      <c r="C93" s="646"/>
      <c r="D93" s="646"/>
      <c r="E93" s="646"/>
      <c r="F93" s="646"/>
      <c r="G93" s="646"/>
      <c r="H93" s="646"/>
      <c r="I93" s="646"/>
      <c r="J93" s="646"/>
      <c r="K93" s="646"/>
      <c r="L93" s="647"/>
      <c r="M93" s="276"/>
    </row>
    <row r="94" spans="1:27" ht="16.5" thickBot="1">
      <c r="A94" s="3"/>
      <c r="B94" s="25"/>
      <c r="C94" s="25"/>
      <c r="D94" s="25"/>
      <c r="E94" s="25"/>
      <c r="F94" s="86"/>
      <c r="G94" s="86"/>
      <c r="H94" s="102"/>
      <c r="I94" s="25"/>
      <c r="J94" s="25"/>
      <c r="K94" s="128" t="s">
        <v>10</v>
      </c>
      <c r="L94" s="87"/>
      <c r="M94" s="276"/>
    </row>
    <row r="95" spans="1:27" ht="23.25" customHeight="1" thickBot="1">
      <c r="A95" s="8"/>
      <c r="B95" s="107" t="s">
        <v>866</v>
      </c>
      <c r="C95" s="25"/>
      <c r="D95" s="25"/>
      <c r="E95" s="25"/>
      <c r="F95" s="25"/>
      <c r="G95" s="25"/>
      <c r="H95" s="102"/>
      <c r="I95" s="86"/>
      <c r="J95" s="86"/>
      <c r="K95" s="533">
        <v>0</v>
      </c>
      <c r="L95" s="87"/>
      <c r="M95" s="276"/>
      <c r="P95" s="508">
        <f>IF(K95&gt;=0,0,1)</f>
        <v>0</v>
      </c>
    </row>
    <row r="96" spans="1:27" ht="16.5" thickBot="1">
      <c r="A96" s="8"/>
      <c r="B96" s="25"/>
      <c r="C96" s="25"/>
      <c r="D96" s="25"/>
      <c r="E96" s="25"/>
      <c r="F96" s="86"/>
      <c r="G96" s="86"/>
      <c r="H96" s="102"/>
      <c r="I96" s="25"/>
      <c r="J96" s="25"/>
      <c r="K96" s="545"/>
      <c r="L96" s="87"/>
      <c r="M96" s="276"/>
      <c r="P96" s="509"/>
    </row>
    <row r="97" spans="1:27" ht="21" thickBot="1">
      <c r="A97" s="8"/>
      <c r="B97" s="107" t="s">
        <v>867</v>
      </c>
      <c r="C97" s="25"/>
      <c r="D97" s="25"/>
      <c r="E97" s="25"/>
      <c r="F97" s="25"/>
      <c r="G97" s="25"/>
      <c r="H97" s="102"/>
      <c r="I97" s="25"/>
      <c r="J97" s="25"/>
      <c r="K97" s="533">
        <v>0</v>
      </c>
      <c r="L97" s="87"/>
      <c r="N97" s="509"/>
      <c r="O97" s="509"/>
      <c r="P97" s="508">
        <f>IF(K97&gt;=0,0,1)</f>
        <v>0</v>
      </c>
      <c r="Q97" s="509"/>
      <c r="R97" s="509"/>
      <c r="S97" s="509"/>
      <c r="T97" s="509"/>
    </row>
    <row r="98" spans="1:27" ht="18.75" thickBot="1">
      <c r="A98" s="3"/>
      <c r="B98" s="108"/>
      <c r="C98" s="108"/>
      <c r="D98" s="108"/>
      <c r="E98" s="108"/>
      <c r="F98" s="86"/>
      <c r="G98" s="86"/>
      <c r="H98" s="102"/>
      <c r="I98" s="107"/>
      <c r="J98" s="107"/>
      <c r="K98" s="107"/>
      <c r="L98" s="87"/>
      <c r="M98" s="279"/>
      <c r="N98" s="513"/>
      <c r="O98" s="513"/>
      <c r="P98" s="509"/>
      <c r="Q98" s="513"/>
      <c r="R98" s="513"/>
      <c r="S98" s="513"/>
      <c r="T98" s="513"/>
      <c r="U98" s="514"/>
      <c r="V98" s="514"/>
      <c r="W98" s="514"/>
      <c r="X98" s="514"/>
      <c r="Y98" s="514"/>
      <c r="Z98" s="514"/>
    </row>
    <row r="99" spans="1:27" s="2" customFormat="1" ht="18.75" thickBot="1">
      <c r="A99" s="648" t="s">
        <v>699</v>
      </c>
      <c r="B99" s="649"/>
      <c r="C99" s="649"/>
      <c r="D99" s="649"/>
      <c r="E99" s="649"/>
      <c r="F99" s="649"/>
      <c r="G99" s="649"/>
      <c r="H99" s="649"/>
      <c r="I99" s="649"/>
      <c r="J99" s="649"/>
      <c r="K99" s="649"/>
      <c r="L99" s="650"/>
      <c r="M99" s="74"/>
      <c r="N99" s="509"/>
      <c r="O99" s="509"/>
      <c r="P99" s="513"/>
      <c r="Q99" s="509"/>
      <c r="R99" s="509"/>
      <c r="S99" s="509"/>
      <c r="T99" s="509"/>
      <c r="U99" s="508"/>
      <c r="V99" s="508"/>
      <c r="W99" s="508"/>
      <c r="X99" s="508"/>
      <c r="Y99" s="508"/>
      <c r="Z99" s="508"/>
      <c r="AA99" s="514"/>
    </row>
    <row r="100" spans="1:27" ht="18">
      <c r="A100" s="136"/>
      <c r="B100" s="227"/>
      <c r="C100" s="137"/>
      <c r="D100" s="137"/>
      <c r="E100" s="137"/>
      <c r="F100" s="137"/>
      <c r="G100" s="137"/>
      <c r="H100" s="137"/>
      <c r="I100" s="137"/>
      <c r="J100" s="137"/>
      <c r="K100" s="137"/>
      <c r="L100" s="138"/>
      <c r="M100" s="279"/>
      <c r="N100" s="513"/>
      <c r="O100" s="513"/>
      <c r="P100" s="509"/>
      <c r="Q100" s="513"/>
      <c r="R100" s="513"/>
      <c r="S100" s="513"/>
      <c r="T100" s="513"/>
      <c r="U100" s="514"/>
      <c r="V100" s="514"/>
      <c r="W100" s="514"/>
      <c r="X100" s="514"/>
      <c r="Y100" s="514"/>
      <c r="Z100" s="514"/>
    </row>
    <row r="101" spans="1:27" s="2" customFormat="1" ht="18">
      <c r="A101" s="223"/>
      <c r="B101" s="24" t="s">
        <v>824</v>
      </c>
      <c r="C101" s="24"/>
      <c r="D101" s="224"/>
      <c r="E101" s="224"/>
      <c r="F101" s="224"/>
      <c r="G101" s="224"/>
      <c r="H101" s="224"/>
      <c r="I101" s="224"/>
      <c r="J101" s="224"/>
      <c r="K101" s="224"/>
      <c r="L101" s="88"/>
      <c r="M101" s="74"/>
      <c r="N101" s="509"/>
      <c r="O101" s="509"/>
      <c r="P101" s="508"/>
      <c r="Q101" s="509"/>
      <c r="R101" s="509"/>
      <c r="S101" s="509"/>
      <c r="T101" s="509"/>
      <c r="U101" s="508"/>
      <c r="V101" s="508"/>
      <c r="W101" s="508"/>
      <c r="X101" s="508"/>
      <c r="Y101" s="508"/>
      <c r="Z101" s="508"/>
      <c r="AA101" s="514"/>
    </row>
    <row r="102" spans="1:27" ht="16.5" thickBot="1">
      <c r="A102" s="18"/>
      <c r="B102" s="86"/>
      <c r="C102" s="86"/>
      <c r="D102" s="86"/>
      <c r="E102" s="86"/>
      <c r="F102" s="86"/>
      <c r="G102" s="93"/>
      <c r="H102" s="86"/>
      <c r="I102" s="86"/>
      <c r="J102" s="86"/>
      <c r="K102" s="6" t="s">
        <v>10</v>
      </c>
      <c r="L102" s="87"/>
    </row>
    <row r="103" spans="1:27" ht="21" thickBot="1">
      <c r="A103" s="90"/>
      <c r="B103" s="91" t="s">
        <v>868</v>
      </c>
      <c r="C103" s="24"/>
      <c r="D103" s="24"/>
      <c r="E103" s="24"/>
      <c r="F103" s="83"/>
      <c r="G103" s="139"/>
      <c r="H103" s="83"/>
      <c r="I103" s="83"/>
      <c r="J103" s="83"/>
      <c r="K103" s="533">
        <v>4962</v>
      </c>
      <c r="L103" s="84"/>
      <c r="P103" s="508">
        <f>IF(K103&gt;=0,0,1)</f>
        <v>0</v>
      </c>
    </row>
    <row r="104" spans="1:27" ht="16.5" thickBot="1">
      <c r="A104" s="8"/>
      <c r="B104" s="107"/>
      <c r="C104" s="107"/>
      <c r="D104" s="107"/>
      <c r="E104" s="107"/>
      <c r="F104" s="86"/>
      <c r="G104" s="93"/>
      <c r="H104" s="86"/>
      <c r="I104" s="86"/>
      <c r="J104" s="86"/>
      <c r="K104" s="534"/>
      <c r="L104" s="87"/>
    </row>
    <row r="105" spans="1:27" ht="21" thickBot="1">
      <c r="A105" s="89"/>
      <c r="B105" s="653" t="s">
        <v>869</v>
      </c>
      <c r="C105" s="654"/>
      <c r="D105" s="654"/>
      <c r="E105" s="654"/>
      <c r="F105" s="654"/>
      <c r="G105" s="654"/>
      <c r="H105" s="655"/>
      <c r="I105" s="655"/>
      <c r="J105" s="86"/>
      <c r="K105" s="533">
        <v>130</v>
      </c>
      <c r="L105" s="87"/>
      <c r="P105" s="508">
        <f>IF(K105&gt;=0,0,1)</f>
        <v>0</v>
      </c>
    </row>
    <row r="106" spans="1:27">
      <c r="A106" s="89"/>
      <c r="B106" s="230" t="s">
        <v>825</v>
      </c>
      <c r="C106" s="230"/>
      <c r="D106" s="230"/>
      <c r="E106" s="230"/>
      <c r="F106" s="230"/>
      <c r="G106" s="230"/>
      <c r="H106" s="86"/>
      <c r="I106" s="86"/>
      <c r="J106" s="86"/>
      <c r="K106" s="546"/>
      <c r="L106" s="87"/>
      <c r="M106" s="280"/>
      <c r="N106" s="515"/>
      <c r="O106" s="515"/>
      <c r="Q106" s="515"/>
      <c r="R106" s="515"/>
      <c r="S106" s="515"/>
      <c r="T106" s="515"/>
      <c r="U106" s="515"/>
      <c r="V106" s="515"/>
      <c r="W106" s="515"/>
      <c r="X106" s="515"/>
      <c r="Y106" s="515"/>
      <c r="Z106" s="515"/>
    </row>
    <row r="107" spans="1:27" s="85" customFormat="1" ht="16.5" thickBot="1">
      <c r="A107" s="8"/>
      <c r="B107" s="4"/>
      <c r="C107" s="219"/>
      <c r="D107" s="219"/>
      <c r="E107" s="219"/>
      <c r="F107" s="220"/>
      <c r="G107" s="221"/>
      <c r="H107" s="86"/>
      <c r="I107" s="86"/>
      <c r="J107" s="86"/>
      <c r="K107" s="534"/>
      <c r="L107" s="87"/>
      <c r="M107" s="74"/>
      <c r="N107" s="508"/>
      <c r="O107" s="508"/>
      <c r="P107" s="508"/>
      <c r="Q107" s="508"/>
      <c r="R107" s="508"/>
      <c r="S107" s="508"/>
      <c r="T107" s="508"/>
      <c r="U107" s="508"/>
      <c r="V107" s="508"/>
      <c r="W107" s="508"/>
      <c r="X107" s="508"/>
      <c r="Y107" s="508"/>
      <c r="Z107" s="508"/>
      <c r="AA107" s="515"/>
    </row>
    <row r="108" spans="1:27" ht="21.75" thickTop="1" thickBot="1">
      <c r="A108" s="90"/>
      <c r="B108" s="91" t="s">
        <v>870</v>
      </c>
      <c r="C108" s="91"/>
      <c r="D108" s="91"/>
      <c r="E108" s="91"/>
      <c r="F108" s="91"/>
      <c r="G108" s="93"/>
      <c r="H108" s="86"/>
      <c r="I108" s="86"/>
      <c r="J108" s="86"/>
      <c r="K108" s="536">
        <f>IF(K103+K105&lt;0,"Cannot be negative",K103+K105)</f>
        <v>5092</v>
      </c>
      <c r="L108" s="87"/>
    </row>
    <row r="109" spans="1:27" ht="17.25" thickTop="1" thickBot="1">
      <c r="A109" s="90"/>
      <c r="B109" s="24"/>
      <c r="C109" s="24"/>
      <c r="D109" s="24"/>
      <c r="E109" s="24"/>
      <c r="F109" s="83"/>
      <c r="G109" s="93"/>
      <c r="H109" s="86"/>
      <c r="I109" s="86"/>
      <c r="J109" s="86"/>
      <c r="K109" s="534"/>
      <c r="L109" s="87"/>
    </row>
    <row r="110" spans="1:27" ht="21" thickBot="1">
      <c r="A110" s="90"/>
      <c r="B110" s="651" t="s">
        <v>871</v>
      </c>
      <c r="C110" s="652"/>
      <c r="D110" s="652"/>
      <c r="E110" s="652"/>
      <c r="F110" s="652"/>
      <c r="G110" s="652"/>
      <c r="H110" s="652"/>
      <c r="I110" s="652"/>
      <c r="J110" s="86"/>
      <c r="K110" s="533">
        <v>920</v>
      </c>
      <c r="L110" s="87"/>
      <c r="P110" s="508">
        <f>IF(K110&gt;=0,0,1)</f>
        <v>0</v>
      </c>
    </row>
    <row r="111" spans="1:27" ht="16.5" thickBot="1">
      <c r="A111" s="8"/>
      <c r="B111" s="219"/>
      <c r="C111" s="109"/>
      <c r="D111" s="109"/>
      <c r="E111" s="109"/>
      <c r="F111" s="107"/>
      <c r="G111" s="93"/>
      <c r="H111" s="86"/>
      <c r="I111" s="86"/>
      <c r="J111" s="86"/>
      <c r="K111" s="546"/>
      <c r="L111" s="87"/>
    </row>
    <row r="112" spans="1:27" ht="21" thickBot="1">
      <c r="A112" s="8"/>
      <c r="B112" s="107" t="s">
        <v>921</v>
      </c>
      <c r="C112" s="25"/>
      <c r="D112" s="25"/>
      <c r="E112" s="25"/>
      <c r="F112" s="86"/>
      <c r="G112" s="93"/>
      <c r="H112" s="86"/>
      <c r="I112" s="86"/>
      <c r="J112" s="86"/>
      <c r="K112" s="533">
        <v>28</v>
      </c>
      <c r="L112" s="87"/>
      <c r="P112" s="508">
        <f>IF(K112&gt;=0,0,1)</f>
        <v>0</v>
      </c>
    </row>
    <row r="113" spans="1:16" ht="21" thickBot="1">
      <c r="A113" s="8"/>
      <c r="B113" s="107"/>
      <c r="C113" s="25"/>
      <c r="D113" s="25"/>
      <c r="E113" s="25"/>
      <c r="F113" s="86"/>
      <c r="G113" s="93"/>
      <c r="H113" s="86"/>
      <c r="I113" s="86"/>
      <c r="J113" s="86"/>
      <c r="K113" s="547"/>
      <c r="L113" s="87"/>
    </row>
    <row r="114" spans="1:16" ht="21" thickBot="1">
      <c r="A114" s="8"/>
      <c r="B114" s="107" t="s">
        <v>922</v>
      </c>
      <c r="C114" s="25"/>
      <c r="D114" s="25"/>
      <c r="E114" s="25"/>
      <c r="F114" s="86"/>
      <c r="G114" s="93"/>
      <c r="H114" s="86"/>
      <c r="I114" s="86"/>
      <c r="J114" s="86"/>
      <c r="K114" s="533">
        <v>1</v>
      </c>
      <c r="L114" s="87"/>
    </row>
    <row r="115" spans="1:16" ht="16.5" thickBot="1">
      <c r="A115" s="3"/>
      <c r="B115" s="25"/>
      <c r="C115" s="25"/>
      <c r="D115" s="25"/>
      <c r="E115" s="25"/>
      <c r="F115" s="86"/>
      <c r="G115" s="93"/>
      <c r="H115" s="86"/>
      <c r="I115" s="86"/>
      <c r="J115" s="86"/>
      <c r="K115" s="534"/>
      <c r="L115" s="87"/>
    </row>
    <row r="116" spans="1:16" ht="21.75" thickTop="1" thickBot="1">
      <c r="A116" s="8"/>
      <c r="B116" s="91" t="s">
        <v>923</v>
      </c>
      <c r="C116" s="107"/>
      <c r="D116" s="107"/>
      <c r="E116" s="107"/>
      <c r="F116" s="107"/>
      <c r="G116" s="93"/>
      <c r="H116" s="86"/>
      <c r="I116" s="86"/>
      <c r="J116" s="86"/>
      <c r="K116" s="536">
        <f>K108-K110-K112-K114</f>
        <v>4143</v>
      </c>
      <c r="L116" s="87"/>
    </row>
    <row r="117" spans="1:16" ht="17.25" thickTop="1" thickBot="1">
      <c r="A117" s="8"/>
      <c r="B117" s="91"/>
      <c r="C117" s="107"/>
      <c r="D117" s="107"/>
      <c r="E117" s="107"/>
      <c r="F117" s="107"/>
      <c r="G117" s="93"/>
      <c r="H117" s="107"/>
      <c r="I117" s="86"/>
      <c r="J117" s="86"/>
      <c r="K117" s="534"/>
      <c r="L117" s="87"/>
    </row>
    <row r="118" spans="1:16" ht="21" thickBot="1">
      <c r="A118" s="8"/>
      <c r="B118" s="107" t="s">
        <v>872</v>
      </c>
      <c r="C118" s="25"/>
      <c r="D118" s="25"/>
      <c r="E118" s="25"/>
      <c r="F118" s="86"/>
      <c r="G118" s="93"/>
      <c r="H118" s="86"/>
      <c r="I118" s="86"/>
      <c r="J118" s="86"/>
      <c r="K118" s="533">
        <v>1634</v>
      </c>
      <c r="L118" s="87"/>
      <c r="P118" s="508">
        <f>IF(K118&gt;=0,0,1)</f>
        <v>0</v>
      </c>
    </row>
    <row r="119" spans="1:16" ht="16.5" thickBot="1">
      <c r="A119" s="8"/>
      <c r="B119" s="25"/>
      <c r="C119" s="110"/>
      <c r="D119" s="110"/>
      <c r="E119" s="110"/>
      <c r="F119" s="86"/>
      <c r="G119" s="93"/>
      <c r="H119" s="86"/>
      <c r="I119" s="86"/>
      <c r="J119" s="86"/>
      <c r="K119" s="534"/>
      <c r="L119" s="87"/>
    </row>
    <row r="120" spans="1:16" ht="21" thickBot="1">
      <c r="A120" s="8"/>
      <c r="B120" s="107" t="s">
        <v>873</v>
      </c>
      <c r="C120" s="25"/>
      <c r="D120" s="25"/>
      <c r="E120" s="25"/>
      <c r="F120" s="86"/>
      <c r="G120" s="93"/>
      <c r="H120" s="86"/>
      <c r="I120" s="86"/>
      <c r="J120" s="86"/>
      <c r="K120" s="533">
        <v>3</v>
      </c>
      <c r="L120" s="87"/>
      <c r="P120" s="508">
        <f>IF(K120&gt;=0,0,1)</f>
        <v>0</v>
      </c>
    </row>
    <row r="121" spans="1:16" ht="15.75" thickBot="1">
      <c r="A121" s="8"/>
      <c r="B121" s="25"/>
      <c r="C121" s="25"/>
      <c r="D121" s="25"/>
      <c r="E121" s="25"/>
      <c r="F121" s="86"/>
      <c r="G121" s="93"/>
      <c r="H121" s="86"/>
      <c r="I121" s="86"/>
      <c r="J121" s="86"/>
      <c r="K121" s="546"/>
      <c r="L121" s="87"/>
    </row>
    <row r="122" spans="1:16" ht="21.75" thickTop="1" thickBot="1">
      <c r="A122" s="8"/>
      <c r="B122" s="5" t="s">
        <v>874</v>
      </c>
      <c r="C122" s="4"/>
      <c r="D122" s="4"/>
      <c r="E122" s="4"/>
      <c r="F122" s="86"/>
      <c r="G122" s="93"/>
      <c r="H122" s="86"/>
      <c r="I122" s="86"/>
      <c r="J122" s="86"/>
      <c r="K122" s="536">
        <f>+K118-K120</f>
        <v>1631</v>
      </c>
      <c r="L122" s="87"/>
    </row>
    <row r="123" spans="1:16" ht="16.5" thickTop="1" thickBot="1">
      <c r="A123" s="8"/>
      <c r="B123" s="25"/>
      <c r="C123" s="25"/>
      <c r="D123" s="25"/>
      <c r="E123" s="25"/>
      <c r="F123" s="86"/>
      <c r="G123" s="93"/>
      <c r="H123" s="86"/>
      <c r="I123" s="86"/>
      <c r="J123" s="86"/>
      <c r="K123" s="546"/>
      <c r="L123" s="87"/>
    </row>
    <row r="124" spans="1:16" ht="21.75" thickTop="1" thickBot="1">
      <c r="A124" s="8"/>
      <c r="B124" s="5" t="s">
        <v>875</v>
      </c>
      <c r="C124" s="4"/>
      <c r="D124" s="4"/>
      <c r="E124" s="4"/>
      <c r="F124" s="86"/>
      <c r="G124" s="93"/>
      <c r="H124" s="86"/>
      <c r="I124" s="86"/>
      <c r="J124" s="86"/>
      <c r="K124" s="536">
        <f>+K116+K122</f>
        <v>5774</v>
      </c>
      <c r="L124" s="87"/>
    </row>
    <row r="125" spans="1:16" ht="16.5" thickTop="1">
      <c r="A125" s="3"/>
      <c r="B125" s="107" t="s">
        <v>876</v>
      </c>
      <c r="C125" s="107"/>
      <c r="D125" s="107"/>
      <c r="E125" s="107"/>
      <c r="F125" s="86"/>
      <c r="G125" s="93"/>
      <c r="H125" s="86"/>
      <c r="I125" s="86"/>
      <c r="J125" s="86"/>
      <c r="K125" s="546"/>
      <c r="L125" s="87"/>
    </row>
    <row r="126" spans="1:16" ht="16.5" thickBot="1">
      <c r="A126" s="3"/>
      <c r="B126" s="107"/>
      <c r="C126" s="107"/>
      <c r="D126" s="107"/>
      <c r="E126" s="107"/>
      <c r="F126" s="86"/>
      <c r="G126" s="93"/>
      <c r="H126" s="86"/>
      <c r="I126" s="86"/>
      <c r="J126" s="86"/>
      <c r="K126" s="546"/>
      <c r="L126" s="87"/>
    </row>
    <row r="127" spans="1:16" ht="21" thickBot="1">
      <c r="A127" s="82"/>
      <c r="B127" s="91" t="s">
        <v>826</v>
      </c>
      <c r="C127" s="24"/>
      <c r="D127" s="24"/>
      <c r="E127" s="24"/>
      <c r="F127" s="83"/>
      <c r="G127" s="93"/>
      <c r="H127" s="83"/>
      <c r="I127" s="86"/>
      <c r="J127" s="86"/>
      <c r="K127" s="533">
        <v>588</v>
      </c>
      <c r="L127" s="84"/>
      <c r="P127" s="508">
        <f>IF(K127&gt;=0,0,1)</f>
        <v>0</v>
      </c>
    </row>
    <row r="128" spans="1:16" ht="21" thickBot="1">
      <c r="A128" s="82"/>
      <c r="B128" s="24"/>
      <c r="C128" s="24"/>
      <c r="D128" s="24"/>
      <c r="E128" s="24"/>
      <c r="F128" s="83"/>
      <c r="G128" s="93"/>
      <c r="H128" s="83"/>
      <c r="I128" s="86"/>
      <c r="J128" s="86"/>
      <c r="K128" s="150"/>
      <c r="L128" s="84"/>
    </row>
    <row r="129" spans="1:27" ht="16.5" thickTop="1">
      <c r="A129" s="82"/>
      <c r="B129" s="612" t="s">
        <v>828</v>
      </c>
      <c r="C129" s="613"/>
      <c r="D129" s="613"/>
      <c r="E129" s="613"/>
      <c r="F129" s="613"/>
      <c r="G129" s="613"/>
      <c r="H129" s="613"/>
      <c r="I129" s="613"/>
      <c r="J129" s="613"/>
      <c r="K129" s="614"/>
      <c r="L129" s="84"/>
      <c r="P129" s="515"/>
    </row>
    <row r="130" spans="1:27" ht="15.75">
      <c r="A130" s="82"/>
      <c r="B130" s="615"/>
      <c r="C130" s="616"/>
      <c r="D130" s="616"/>
      <c r="E130" s="616"/>
      <c r="F130" s="616"/>
      <c r="G130" s="616"/>
      <c r="H130" s="616"/>
      <c r="I130" s="616"/>
      <c r="J130" s="616"/>
      <c r="K130" s="617"/>
      <c r="L130" s="84"/>
      <c r="M130" s="280"/>
      <c r="N130" s="515"/>
      <c r="O130" s="515"/>
      <c r="P130" s="515"/>
      <c r="Q130" s="515"/>
      <c r="R130" s="515"/>
      <c r="S130" s="515"/>
      <c r="T130" s="515"/>
      <c r="U130" s="515"/>
      <c r="V130" s="515"/>
      <c r="W130" s="515"/>
      <c r="X130" s="515"/>
      <c r="Y130" s="515"/>
      <c r="Z130" s="515"/>
    </row>
    <row r="131" spans="1:27" s="85" customFormat="1" ht="15.75">
      <c r="A131" s="82"/>
      <c r="B131" s="615"/>
      <c r="C131" s="616"/>
      <c r="D131" s="616"/>
      <c r="E131" s="616"/>
      <c r="F131" s="616"/>
      <c r="G131" s="616"/>
      <c r="H131" s="616"/>
      <c r="I131" s="616"/>
      <c r="J131" s="616"/>
      <c r="K131" s="617"/>
      <c r="L131" s="84"/>
      <c r="M131" s="280"/>
      <c r="N131" s="515"/>
      <c r="O131" s="515"/>
      <c r="P131" s="515"/>
      <c r="Q131" s="515"/>
      <c r="R131" s="515"/>
      <c r="S131" s="515"/>
      <c r="T131" s="515"/>
      <c r="U131" s="515"/>
      <c r="V131" s="515"/>
      <c r="W131" s="515"/>
      <c r="X131" s="515"/>
      <c r="Y131" s="515"/>
      <c r="Z131" s="515"/>
      <c r="AA131" s="515"/>
    </row>
    <row r="132" spans="1:27" s="85" customFormat="1" ht="15.75">
      <c r="A132" s="82"/>
      <c r="B132" s="615"/>
      <c r="C132" s="616"/>
      <c r="D132" s="616"/>
      <c r="E132" s="616"/>
      <c r="F132" s="616"/>
      <c r="G132" s="616"/>
      <c r="H132" s="616"/>
      <c r="I132" s="616"/>
      <c r="J132" s="616"/>
      <c r="K132" s="617"/>
      <c r="L132" s="84"/>
      <c r="M132" s="280"/>
      <c r="N132" s="515"/>
      <c r="O132" s="515"/>
      <c r="P132" s="515"/>
      <c r="Q132" s="515"/>
      <c r="R132" s="515"/>
      <c r="S132" s="515"/>
      <c r="T132" s="515"/>
      <c r="U132" s="515"/>
      <c r="V132" s="515"/>
      <c r="W132" s="515"/>
      <c r="X132" s="515"/>
      <c r="Y132" s="515"/>
      <c r="Z132" s="515"/>
      <c r="AA132" s="515"/>
    </row>
    <row r="133" spans="1:27" s="85" customFormat="1" ht="28.5" customHeight="1">
      <c r="A133" s="82"/>
      <c r="B133" s="615"/>
      <c r="C133" s="616"/>
      <c r="D133" s="616"/>
      <c r="E133" s="616"/>
      <c r="F133" s="616"/>
      <c r="G133" s="616"/>
      <c r="H133" s="616"/>
      <c r="I133" s="616"/>
      <c r="J133" s="616"/>
      <c r="K133" s="617"/>
      <c r="L133" s="84"/>
      <c r="M133" s="280"/>
      <c r="N133" s="515"/>
      <c r="O133" s="515"/>
      <c r="P133" s="515"/>
      <c r="Q133" s="515"/>
      <c r="R133" s="515"/>
      <c r="S133" s="515"/>
      <c r="T133" s="515"/>
      <c r="U133" s="515"/>
      <c r="V133" s="515"/>
      <c r="W133" s="515"/>
      <c r="X133" s="515"/>
      <c r="Y133" s="515"/>
      <c r="Z133" s="515"/>
      <c r="AA133" s="515"/>
    </row>
    <row r="134" spans="1:27" s="85" customFormat="1" ht="28.5" customHeight="1">
      <c r="A134" s="82"/>
      <c r="B134" s="615"/>
      <c r="C134" s="616"/>
      <c r="D134" s="616"/>
      <c r="E134" s="616"/>
      <c r="F134" s="616"/>
      <c r="G134" s="616"/>
      <c r="H134" s="616"/>
      <c r="I134" s="616"/>
      <c r="J134" s="616"/>
      <c r="K134" s="617"/>
      <c r="L134" s="84"/>
      <c r="M134" s="280"/>
      <c r="N134" s="515"/>
      <c r="O134" s="515"/>
      <c r="P134" s="515"/>
      <c r="Q134" s="515"/>
      <c r="R134" s="515"/>
      <c r="S134" s="515"/>
      <c r="T134" s="515"/>
      <c r="U134" s="515"/>
      <c r="V134" s="515"/>
      <c r="W134" s="515"/>
      <c r="X134" s="515"/>
      <c r="Y134" s="515"/>
      <c r="Z134" s="515"/>
      <c r="AA134" s="515"/>
    </row>
    <row r="135" spans="1:27" s="85" customFormat="1" ht="28.5" customHeight="1">
      <c r="A135" s="82"/>
      <c r="B135" s="615"/>
      <c r="C135" s="616"/>
      <c r="D135" s="616"/>
      <c r="E135" s="616"/>
      <c r="F135" s="616"/>
      <c r="G135" s="616"/>
      <c r="H135" s="616"/>
      <c r="I135" s="616"/>
      <c r="J135" s="616"/>
      <c r="K135" s="617"/>
      <c r="L135" s="84"/>
      <c r="M135" s="280"/>
      <c r="N135" s="515"/>
      <c r="O135" s="515"/>
      <c r="P135" s="515"/>
      <c r="Q135" s="515"/>
      <c r="R135" s="515"/>
      <c r="S135" s="515"/>
      <c r="T135" s="515"/>
      <c r="U135" s="515"/>
      <c r="V135" s="515"/>
      <c r="W135" s="515"/>
      <c r="X135" s="515"/>
      <c r="Y135" s="515"/>
      <c r="Z135" s="515"/>
      <c r="AA135" s="515"/>
    </row>
    <row r="136" spans="1:27" s="85" customFormat="1" ht="28.5" customHeight="1">
      <c r="A136" s="82"/>
      <c r="B136" s="615"/>
      <c r="C136" s="616"/>
      <c r="D136" s="616"/>
      <c r="E136" s="616"/>
      <c r="F136" s="616"/>
      <c r="G136" s="616"/>
      <c r="H136" s="616"/>
      <c r="I136" s="616"/>
      <c r="J136" s="616"/>
      <c r="K136" s="617"/>
      <c r="L136" s="84"/>
      <c r="M136" s="280"/>
      <c r="N136" s="515"/>
      <c r="O136" s="515"/>
      <c r="P136" s="515"/>
      <c r="Q136" s="515"/>
      <c r="R136" s="515"/>
      <c r="S136" s="515"/>
      <c r="T136" s="515"/>
      <c r="U136" s="515"/>
      <c r="V136" s="515"/>
      <c r="W136" s="515"/>
      <c r="X136" s="515"/>
      <c r="Y136" s="515"/>
      <c r="Z136" s="515"/>
      <c r="AA136" s="515"/>
    </row>
    <row r="137" spans="1:27" s="85" customFormat="1" ht="28.5" customHeight="1" thickBot="1">
      <c r="A137" s="82"/>
      <c r="B137" s="618"/>
      <c r="C137" s="619"/>
      <c r="D137" s="619"/>
      <c r="E137" s="619"/>
      <c r="F137" s="619"/>
      <c r="G137" s="619"/>
      <c r="H137" s="619"/>
      <c r="I137" s="619"/>
      <c r="J137" s="619"/>
      <c r="K137" s="620"/>
      <c r="L137" s="84"/>
      <c r="M137" s="280"/>
      <c r="N137" s="515"/>
      <c r="O137" s="515"/>
      <c r="P137" s="515"/>
      <c r="Q137" s="515"/>
      <c r="R137" s="515"/>
      <c r="S137" s="515"/>
      <c r="T137" s="515"/>
      <c r="U137" s="515"/>
      <c r="V137" s="515"/>
      <c r="W137" s="515"/>
      <c r="X137" s="515"/>
      <c r="Y137" s="515"/>
      <c r="Z137" s="515"/>
      <c r="AA137" s="515"/>
    </row>
    <row r="138" spans="1:27" s="85" customFormat="1" ht="28.5" customHeight="1" thickTop="1" thickBot="1">
      <c r="A138" s="3"/>
      <c r="B138" s="25"/>
      <c r="C138" s="25"/>
      <c r="D138" s="25"/>
      <c r="E138" s="25"/>
      <c r="F138" s="86"/>
      <c r="G138" s="86"/>
      <c r="H138" s="86"/>
      <c r="I138" s="86"/>
      <c r="J138" s="86"/>
      <c r="K138" s="86"/>
      <c r="L138" s="87"/>
      <c r="M138" s="280"/>
      <c r="N138" s="515"/>
      <c r="O138" s="515"/>
      <c r="P138" s="515"/>
      <c r="Q138" s="515"/>
      <c r="R138" s="515"/>
      <c r="S138" s="515"/>
      <c r="T138" s="515"/>
      <c r="U138" s="515"/>
      <c r="V138" s="515"/>
      <c r="W138" s="515"/>
      <c r="X138" s="515"/>
      <c r="Y138" s="515"/>
      <c r="Z138" s="515"/>
      <c r="AA138" s="515"/>
    </row>
    <row r="139" spans="1:27" s="85" customFormat="1" ht="28.5" customHeight="1">
      <c r="A139" s="136"/>
      <c r="B139" s="225"/>
      <c r="C139" s="225"/>
      <c r="D139" s="225"/>
      <c r="E139" s="225"/>
      <c r="F139" s="226"/>
      <c r="G139" s="226"/>
      <c r="H139" s="226"/>
      <c r="I139" s="226"/>
      <c r="J139" s="226"/>
      <c r="K139" s="226"/>
      <c r="L139" s="138"/>
      <c r="M139" s="280"/>
      <c r="N139" s="515"/>
      <c r="O139" s="515"/>
      <c r="P139" s="515"/>
      <c r="Q139" s="515"/>
      <c r="R139" s="515"/>
      <c r="S139" s="515"/>
      <c r="T139" s="515"/>
      <c r="U139" s="515"/>
      <c r="V139" s="515"/>
      <c r="W139" s="515"/>
      <c r="X139" s="515"/>
      <c r="Y139" s="515"/>
      <c r="Z139" s="515"/>
      <c r="AA139" s="515"/>
    </row>
    <row r="140" spans="1:27" s="85" customFormat="1" ht="28.5" customHeight="1">
      <c r="A140" s="111"/>
      <c r="B140" s="107" t="s">
        <v>18</v>
      </c>
      <c r="C140" s="25"/>
      <c r="D140" s="25"/>
      <c r="E140" s="25"/>
      <c r="F140" s="86"/>
      <c r="G140" s="86"/>
      <c r="H140" s="86"/>
      <c r="I140" s="86"/>
      <c r="J140" s="86"/>
      <c r="K140" s="86"/>
      <c r="L140" s="87"/>
      <c r="M140" s="280"/>
      <c r="N140" s="515"/>
      <c r="O140" s="515"/>
      <c r="P140" s="516"/>
      <c r="Q140" s="515"/>
      <c r="R140" s="515"/>
      <c r="S140" s="515"/>
      <c r="T140" s="515"/>
      <c r="U140" s="515"/>
      <c r="V140" s="515"/>
      <c r="W140" s="515"/>
      <c r="X140" s="515"/>
      <c r="Y140" s="515"/>
      <c r="Z140" s="515"/>
      <c r="AA140" s="515"/>
    </row>
    <row r="141" spans="1:27" s="85" customFormat="1" ht="28.5" customHeight="1">
      <c r="A141" s="112"/>
      <c r="B141" s="25"/>
      <c r="C141" s="25"/>
      <c r="D141" s="25"/>
      <c r="E141" s="25"/>
      <c r="F141" s="25"/>
      <c r="G141" s="113"/>
      <c r="H141" s="113"/>
      <c r="I141" s="113"/>
      <c r="J141" s="113"/>
      <c r="K141" s="113"/>
      <c r="L141" s="87"/>
      <c r="M141" s="233"/>
      <c r="N141" s="516"/>
      <c r="O141" s="516"/>
      <c r="P141" s="516"/>
      <c r="Q141" s="516"/>
      <c r="R141" s="516"/>
      <c r="S141" s="516"/>
      <c r="T141" s="516"/>
      <c r="U141" s="516"/>
      <c r="V141" s="516"/>
      <c r="W141" s="516"/>
      <c r="X141" s="516"/>
      <c r="Y141" s="516"/>
      <c r="Z141" s="516"/>
      <c r="AA141" s="515"/>
    </row>
    <row r="142" spans="1:27" s="36" customFormat="1" ht="18" customHeight="1">
      <c r="A142" s="199"/>
      <c r="B142" s="132" t="s">
        <v>827</v>
      </c>
      <c r="C142" s="200"/>
      <c r="D142" s="200"/>
      <c r="E142" s="200"/>
      <c r="F142" s="200"/>
      <c r="G142" s="200"/>
      <c r="H142" s="200"/>
      <c r="I142" s="200"/>
      <c r="J142" s="200"/>
      <c r="K142" s="200"/>
      <c r="L142" s="201"/>
      <c r="M142" s="233"/>
      <c r="N142" s="516"/>
      <c r="O142" s="516"/>
      <c r="P142" s="508"/>
      <c r="Q142" s="516"/>
      <c r="R142" s="516"/>
      <c r="S142" s="516"/>
      <c r="T142" s="516"/>
      <c r="U142" s="516"/>
      <c r="V142" s="516"/>
      <c r="W142" s="516"/>
      <c r="X142" s="516"/>
      <c r="Y142" s="516"/>
      <c r="Z142" s="516"/>
      <c r="AA142" s="516"/>
    </row>
    <row r="143" spans="1:27" s="36" customFormat="1" ht="18" customHeight="1">
      <c r="A143" s="19"/>
      <c r="B143" s="20"/>
      <c r="C143" s="20"/>
      <c r="D143" s="20"/>
      <c r="E143" s="20"/>
      <c r="F143" s="20"/>
      <c r="G143" s="16"/>
      <c r="H143" s="16"/>
      <c r="I143" s="16"/>
      <c r="J143" s="16"/>
      <c r="K143" s="16"/>
      <c r="L143" s="87"/>
      <c r="M143" s="74"/>
      <c r="N143" s="508"/>
      <c r="O143" s="508"/>
      <c r="P143" s="508"/>
      <c r="Q143" s="508"/>
      <c r="R143" s="508"/>
      <c r="S143" s="508"/>
      <c r="T143" s="508"/>
      <c r="U143" s="508"/>
      <c r="V143" s="508"/>
      <c r="W143" s="508"/>
      <c r="X143" s="508"/>
      <c r="Y143" s="508"/>
      <c r="Z143" s="508"/>
      <c r="AA143" s="516"/>
    </row>
    <row r="144" spans="1:27" ht="15.75">
      <c r="A144" s="19"/>
      <c r="B144" s="20"/>
      <c r="C144" s="20"/>
      <c r="D144" s="20"/>
      <c r="E144" s="20"/>
      <c r="F144" s="20"/>
      <c r="G144" s="16"/>
      <c r="H144" s="16"/>
      <c r="I144" s="16"/>
      <c r="J144" s="16"/>
      <c r="K144" s="16"/>
      <c r="L144" s="87"/>
    </row>
    <row r="145" spans="1:12">
      <c r="A145" s="112"/>
      <c r="B145" s="25"/>
      <c r="C145" s="25"/>
      <c r="D145" s="25"/>
      <c r="E145" s="25"/>
      <c r="F145" s="25"/>
      <c r="G145" s="113"/>
      <c r="H145" s="113"/>
      <c r="I145" s="113"/>
      <c r="J145" s="113"/>
      <c r="K145" s="113"/>
      <c r="L145" s="87"/>
    </row>
    <row r="146" spans="1:12" ht="15.75">
      <c r="A146" s="111"/>
      <c r="B146" s="107" t="s">
        <v>0</v>
      </c>
      <c r="C146" s="25"/>
      <c r="D146" s="25"/>
      <c r="E146" s="25"/>
      <c r="F146" s="107" t="s">
        <v>1</v>
      </c>
      <c r="G146" s="113"/>
      <c r="H146" s="113"/>
      <c r="I146" s="113"/>
      <c r="J146" s="113"/>
      <c r="K146" s="113"/>
      <c r="L146" s="87"/>
    </row>
    <row r="147" spans="1:12">
      <c r="A147" s="112"/>
      <c r="B147" s="25"/>
      <c r="C147" s="25"/>
      <c r="D147" s="25"/>
      <c r="E147" s="25"/>
      <c r="F147" s="25"/>
      <c r="G147" s="113"/>
      <c r="H147" s="113"/>
      <c r="I147" s="113"/>
      <c r="J147" s="113"/>
      <c r="K147" s="113"/>
      <c r="L147" s="87"/>
    </row>
    <row r="148" spans="1:12">
      <c r="A148" s="112"/>
      <c r="B148" s="25"/>
      <c r="C148" s="25"/>
      <c r="D148" s="25"/>
      <c r="E148" s="25"/>
      <c r="F148" s="25"/>
      <c r="G148" s="113"/>
      <c r="H148" s="113"/>
      <c r="I148" s="113"/>
      <c r="J148" s="113"/>
      <c r="K148" s="113"/>
      <c r="L148" s="87"/>
    </row>
    <row r="149" spans="1:12" ht="15.75">
      <c r="A149" s="111"/>
      <c r="B149" s="107" t="s">
        <v>2</v>
      </c>
      <c r="C149" s="25"/>
      <c r="D149" s="25"/>
      <c r="E149" s="25"/>
      <c r="F149" s="25"/>
      <c r="G149" s="113"/>
      <c r="H149" s="113"/>
      <c r="I149" s="113"/>
      <c r="J149" s="113"/>
      <c r="K149" s="113"/>
      <c r="L149" s="87"/>
    </row>
    <row r="150" spans="1:12" ht="12.75">
      <c r="A150" s="286"/>
      <c r="B150" s="287"/>
      <c r="C150" s="287"/>
      <c r="D150" s="287"/>
      <c r="E150" s="287"/>
      <c r="F150" s="287"/>
      <c r="G150" s="287"/>
      <c r="H150" s="288"/>
      <c r="I150" s="287"/>
      <c r="J150" s="287"/>
      <c r="K150" s="287"/>
      <c r="L150" s="87"/>
    </row>
    <row r="151" spans="1:12" ht="16.5" thickBot="1">
      <c r="A151" s="609" t="s">
        <v>772</v>
      </c>
      <c r="B151" s="610"/>
      <c r="C151" s="610"/>
      <c r="D151" s="610"/>
      <c r="E151" s="610"/>
      <c r="F151" s="610"/>
      <c r="G151" s="610"/>
      <c r="H151" s="610"/>
      <c r="I151" s="610"/>
      <c r="J151" s="610"/>
      <c r="K151" s="610"/>
      <c r="L151" s="611"/>
    </row>
    <row r="152" spans="1:12">
      <c r="B152" s="115"/>
      <c r="C152" s="115"/>
      <c r="D152" s="115"/>
      <c r="E152" s="115"/>
      <c r="F152" s="115"/>
      <c r="G152" s="115"/>
      <c r="H152" s="115"/>
      <c r="I152" s="115"/>
      <c r="J152" s="115"/>
      <c r="K152" s="115"/>
      <c r="L152" s="114"/>
    </row>
    <row r="153" spans="1:12">
      <c r="B153" s="115"/>
      <c r="C153" s="115"/>
      <c r="D153" s="115"/>
      <c r="E153" s="115"/>
      <c r="F153" s="115"/>
      <c r="G153" s="115"/>
      <c r="H153" s="115"/>
      <c r="I153" s="115"/>
      <c r="J153" s="115"/>
      <c r="K153" s="115"/>
      <c r="L153" s="114"/>
    </row>
    <row r="154" spans="1:12">
      <c r="B154" s="115"/>
      <c r="C154" s="115"/>
      <c r="D154" s="115"/>
      <c r="E154" s="115"/>
      <c r="F154" s="115"/>
      <c r="G154" s="115"/>
      <c r="H154" s="115"/>
      <c r="I154" s="115"/>
      <c r="J154" s="115"/>
      <c r="K154" s="115"/>
      <c r="L154" s="114"/>
    </row>
    <row r="155" spans="1:12" ht="37.5" customHeight="1">
      <c r="B155" s="115"/>
      <c r="C155" s="115"/>
      <c r="D155" s="115"/>
      <c r="E155" s="115"/>
      <c r="F155" s="115"/>
      <c r="G155" s="115"/>
      <c r="H155" s="115"/>
      <c r="I155" s="115"/>
      <c r="J155" s="115"/>
      <c r="K155" s="115"/>
      <c r="L155" s="114"/>
    </row>
    <row r="156" spans="1:12">
      <c r="B156" s="115"/>
      <c r="C156" s="115"/>
      <c r="D156" s="115"/>
      <c r="E156" s="115"/>
      <c r="F156" s="115"/>
      <c r="G156" s="115"/>
      <c r="H156" s="115"/>
      <c r="I156" s="115"/>
      <c r="J156" s="115"/>
      <c r="K156" s="115"/>
      <c r="L156" s="114"/>
    </row>
    <row r="157" spans="1:12">
      <c r="B157" s="115"/>
      <c r="C157" s="115"/>
      <c r="D157" s="115"/>
      <c r="E157" s="115"/>
      <c r="F157" s="115"/>
      <c r="G157" s="115"/>
      <c r="H157" s="115"/>
      <c r="I157" s="115"/>
      <c r="J157" s="115"/>
      <c r="K157" s="115"/>
      <c r="L157" s="114"/>
    </row>
    <row r="158" spans="1:12">
      <c r="B158" s="115"/>
      <c r="C158" s="115"/>
      <c r="D158" s="115"/>
      <c r="E158" s="115"/>
      <c r="F158" s="115"/>
      <c r="G158" s="115"/>
      <c r="H158" s="115"/>
      <c r="I158" s="115"/>
      <c r="J158" s="115"/>
      <c r="K158" s="115"/>
      <c r="L158" s="114"/>
    </row>
    <row r="159" spans="1:12">
      <c r="B159" s="115"/>
      <c r="C159" s="115"/>
      <c r="D159" s="115"/>
      <c r="E159" s="115"/>
      <c r="F159" s="115"/>
      <c r="G159" s="115"/>
      <c r="H159" s="115"/>
      <c r="I159" s="115"/>
      <c r="J159" s="115"/>
      <c r="K159" s="115"/>
      <c r="L159" s="114"/>
    </row>
    <row r="160" spans="1:12">
      <c r="B160" s="115"/>
      <c r="C160" s="115"/>
      <c r="D160" s="115"/>
      <c r="E160" s="115"/>
      <c r="F160" s="115"/>
      <c r="G160" s="115"/>
      <c r="H160" s="115"/>
      <c r="I160" s="115"/>
      <c r="J160" s="115"/>
      <c r="K160" s="115"/>
      <c r="L160" s="114"/>
    </row>
    <row r="161" spans="2:49">
      <c r="B161" s="115"/>
      <c r="C161" s="115"/>
      <c r="D161" s="115"/>
      <c r="E161" s="115"/>
      <c r="F161" s="115"/>
      <c r="G161" s="115"/>
      <c r="H161" s="115"/>
      <c r="I161" s="115"/>
      <c r="J161" s="115"/>
      <c r="K161" s="115"/>
      <c r="L161" s="114"/>
    </row>
    <row r="162" spans="2:49">
      <c r="B162" s="115"/>
      <c r="C162" s="115"/>
      <c r="D162" s="115"/>
      <c r="E162" s="115"/>
      <c r="F162" s="115"/>
      <c r="G162" s="115"/>
      <c r="H162" s="115"/>
      <c r="I162" s="115"/>
      <c r="J162" s="115"/>
      <c r="K162" s="115"/>
      <c r="L162" s="114"/>
    </row>
    <row r="163" spans="2:49">
      <c r="B163" s="115"/>
      <c r="C163" s="115"/>
      <c r="D163" s="115"/>
      <c r="E163" s="115"/>
      <c r="F163" s="115"/>
      <c r="G163" s="115"/>
      <c r="H163" s="115"/>
      <c r="I163" s="115"/>
      <c r="J163" s="115"/>
      <c r="K163" s="115"/>
      <c r="L163" s="114"/>
    </row>
    <row r="164" spans="2:49">
      <c r="B164" s="115"/>
      <c r="C164" s="115"/>
      <c r="D164" s="115"/>
      <c r="E164" s="115"/>
      <c r="F164" s="115"/>
      <c r="G164" s="115"/>
      <c r="H164" s="115"/>
      <c r="I164" s="115"/>
      <c r="J164" s="115"/>
      <c r="K164" s="115"/>
      <c r="L164" s="114"/>
    </row>
    <row r="165" spans="2:49">
      <c r="B165" s="115"/>
      <c r="C165" s="115"/>
      <c r="D165" s="115"/>
      <c r="E165" s="115"/>
      <c r="F165" s="115"/>
      <c r="G165" s="115"/>
      <c r="H165" s="115"/>
      <c r="I165" s="115"/>
      <c r="J165" s="115"/>
      <c r="K165" s="115"/>
      <c r="L165" s="114"/>
    </row>
    <row r="166" spans="2:49">
      <c r="B166" s="115"/>
      <c r="C166" s="115"/>
      <c r="D166" s="115"/>
      <c r="E166" s="115"/>
      <c r="F166" s="115"/>
      <c r="G166" s="115"/>
      <c r="H166" s="115"/>
      <c r="I166" s="115"/>
      <c r="J166" s="115"/>
      <c r="K166" s="115"/>
      <c r="L166" s="114"/>
    </row>
    <row r="167" spans="2:49">
      <c r="B167" s="115"/>
      <c r="C167" s="115"/>
      <c r="D167" s="115"/>
      <c r="E167" s="115"/>
      <c r="F167" s="115"/>
      <c r="G167" s="115"/>
      <c r="H167" s="115"/>
      <c r="I167" s="115"/>
      <c r="J167" s="115"/>
      <c r="K167" s="115"/>
      <c r="L167" s="114"/>
    </row>
    <row r="168" spans="2:49">
      <c r="B168" s="115"/>
      <c r="C168" s="115"/>
      <c r="D168" s="115"/>
      <c r="E168" s="115"/>
      <c r="F168" s="115"/>
      <c r="G168" s="115"/>
      <c r="H168" s="115"/>
      <c r="I168" s="115"/>
      <c r="J168" s="115"/>
      <c r="K168" s="115"/>
      <c r="L168" s="114"/>
    </row>
    <row r="169" spans="2:49">
      <c r="B169" s="115"/>
      <c r="C169" s="115"/>
      <c r="D169" s="115"/>
      <c r="E169" s="115"/>
      <c r="F169" s="115"/>
      <c r="G169" s="115"/>
      <c r="H169" s="115"/>
      <c r="I169" s="115"/>
      <c r="J169" s="115"/>
      <c r="K169" s="115"/>
      <c r="L169" s="114"/>
    </row>
    <row r="170" spans="2:49">
      <c r="B170" s="115"/>
      <c r="C170" s="115"/>
      <c r="D170" s="115"/>
      <c r="E170" s="115"/>
      <c r="F170" s="115"/>
      <c r="G170" s="115"/>
      <c r="H170" s="115"/>
      <c r="I170" s="115"/>
      <c r="J170" s="115"/>
      <c r="K170" s="115"/>
      <c r="L170" s="114"/>
      <c r="AV170" s="12"/>
      <c r="AW170" s="12"/>
    </row>
    <row r="171" spans="2:49">
      <c r="B171" s="115"/>
      <c r="C171" s="115"/>
      <c r="D171" s="115"/>
      <c r="E171" s="115"/>
      <c r="F171" s="115"/>
      <c r="G171" s="115"/>
      <c r="H171" s="115"/>
      <c r="I171" s="115"/>
      <c r="J171" s="115"/>
      <c r="K171" s="115"/>
      <c r="L171" s="114"/>
      <c r="AV171" s="12"/>
      <c r="AW171" s="12"/>
    </row>
    <row r="172" spans="2:49">
      <c r="B172" s="115"/>
      <c r="C172" s="115"/>
      <c r="D172" s="115"/>
      <c r="E172" s="115"/>
      <c r="F172" s="115"/>
      <c r="G172" s="115"/>
      <c r="H172" s="115"/>
      <c r="I172" s="115"/>
      <c r="J172" s="115"/>
      <c r="K172" s="115"/>
      <c r="L172" s="114"/>
      <c r="AV172" s="12"/>
      <c r="AW172" s="12"/>
    </row>
    <row r="173" spans="2:49">
      <c r="B173" s="115"/>
      <c r="C173" s="115"/>
      <c r="D173" s="115"/>
      <c r="E173" s="115"/>
      <c r="F173" s="115"/>
      <c r="G173" s="115"/>
      <c r="H173" s="115"/>
      <c r="I173" s="115"/>
      <c r="J173" s="115"/>
      <c r="K173" s="115"/>
      <c r="L173" s="114"/>
      <c r="AV173" s="62"/>
      <c r="AW173" s="62"/>
    </row>
    <row r="174" spans="2:49">
      <c r="B174" s="115"/>
      <c r="C174" s="115"/>
      <c r="D174" s="115"/>
      <c r="E174" s="115"/>
      <c r="F174" s="115"/>
      <c r="G174" s="115"/>
      <c r="H174" s="115"/>
      <c r="I174" s="115"/>
      <c r="J174" s="115"/>
      <c r="K174" s="115"/>
      <c r="L174" s="114"/>
      <c r="AV174" s="12"/>
      <c r="AW174" s="12"/>
    </row>
    <row r="175" spans="2:49">
      <c r="B175" s="115"/>
      <c r="C175" s="115"/>
      <c r="D175" s="115"/>
      <c r="E175" s="115"/>
      <c r="F175" s="115"/>
      <c r="G175" s="115"/>
      <c r="H175" s="115"/>
      <c r="I175" s="115"/>
      <c r="J175" s="115"/>
      <c r="K175" s="115"/>
      <c r="L175" s="114"/>
    </row>
    <row r="176" spans="2:49">
      <c r="B176" s="115"/>
      <c r="C176" s="115"/>
      <c r="D176" s="115"/>
      <c r="E176" s="115"/>
      <c r="F176" s="115"/>
      <c r="G176" s="115"/>
      <c r="H176" s="115"/>
      <c r="I176" s="115"/>
      <c r="J176" s="115"/>
      <c r="K176" s="115"/>
      <c r="L176" s="114"/>
    </row>
    <row r="177" spans="2:75" ht="15.75" thickBot="1">
      <c r="B177" s="115"/>
      <c r="C177" s="115"/>
      <c r="D177" s="115"/>
      <c r="E177" s="115"/>
      <c r="F177" s="115"/>
      <c r="G177" s="115"/>
      <c r="H177" s="115"/>
      <c r="I177" s="115"/>
      <c r="J177" s="115"/>
      <c r="K177" s="115"/>
      <c r="L177" s="114"/>
    </row>
    <row r="178" spans="2:75">
      <c r="B178" s="115"/>
      <c r="C178" s="115"/>
      <c r="D178" s="115"/>
      <c r="E178" s="115"/>
      <c r="F178" s="115"/>
      <c r="G178" s="115"/>
      <c r="H178" s="115"/>
      <c r="I178" s="115"/>
      <c r="J178" s="115"/>
      <c r="K178" s="115"/>
      <c r="L178" s="114"/>
      <c r="AF178" s="57"/>
      <c r="AG178" s="58"/>
      <c r="AH178" s="58"/>
      <c r="AI178" s="58"/>
      <c r="AJ178" s="58"/>
      <c r="AK178" s="58"/>
      <c r="AL178" s="58"/>
      <c r="AM178" s="58"/>
      <c r="AN178" s="58"/>
      <c r="AO178" s="58"/>
      <c r="AP178" s="58"/>
      <c r="AQ178" s="58"/>
      <c r="AR178" s="58"/>
      <c r="AS178" s="58"/>
      <c r="AT178" s="58"/>
      <c r="AU178" s="58"/>
      <c r="AV178" s="58"/>
      <c r="AW178" s="58"/>
      <c r="AX178" s="58"/>
      <c r="AY178" s="58"/>
      <c r="AZ178" s="58"/>
      <c r="BA178" s="58"/>
      <c r="BB178" s="58"/>
      <c r="BC178" s="58"/>
      <c r="BD178" s="58"/>
      <c r="BE178" s="58"/>
      <c r="BF178" s="58"/>
      <c r="BG178" s="58"/>
      <c r="BH178" s="58"/>
      <c r="BI178" s="58"/>
      <c r="BJ178" s="58"/>
      <c r="BK178" s="58"/>
      <c r="BL178" s="58"/>
      <c r="BM178" s="58"/>
      <c r="BN178" s="58"/>
      <c r="BO178" s="58"/>
      <c r="BP178" s="58"/>
      <c r="BQ178" s="58"/>
      <c r="BR178" s="58"/>
      <c r="BS178" s="58"/>
      <c r="BT178" s="58"/>
      <c r="BU178" s="58"/>
      <c r="BV178" s="58"/>
      <c r="BW178" s="144"/>
    </row>
    <row r="179" spans="2:75">
      <c r="B179" s="115"/>
      <c r="C179" s="115"/>
      <c r="D179" s="115"/>
      <c r="E179" s="115"/>
      <c r="F179" s="115"/>
      <c r="G179" s="115"/>
      <c r="H179" s="115"/>
      <c r="I179" s="115"/>
      <c r="J179" s="115"/>
      <c r="K179" s="115"/>
      <c r="L179" s="114"/>
      <c r="AF179" s="60"/>
      <c r="AG179" s="65" t="s">
        <v>807</v>
      </c>
      <c r="AH179" s="59"/>
      <c r="AI179" s="59"/>
      <c r="AJ179" s="59"/>
      <c r="AK179" s="59"/>
      <c r="AL179" s="12"/>
      <c r="AM179" s="12"/>
      <c r="AN179" s="12"/>
      <c r="AO179" s="12"/>
      <c r="AP179" s="12"/>
      <c r="AQ179" s="12"/>
      <c r="AR179" s="12"/>
      <c r="AS179" s="12"/>
      <c r="AT179" s="12"/>
      <c r="AU179" s="12"/>
      <c r="AV179" s="12"/>
      <c r="AW179" s="12"/>
      <c r="AX179" s="12"/>
      <c r="AY179" s="12"/>
      <c r="AZ179" s="12"/>
      <c r="BA179" s="12"/>
      <c r="BB179" s="12"/>
      <c r="BC179" s="12"/>
      <c r="BD179" s="12"/>
      <c r="BE179" s="12"/>
      <c r="BF179" s="12"/>
      <c r="BG179" s="12"/>
      <c r="BH179" s="12"/>
      <c r="BI179" s="12"/>
      <c r="BJ179" s="12"/>
      <c r="BK179" s="12"/>
      <c r="BL179" s="12"/>
      <c r="BM179" s="12"/>
      <c r="BN179" s="12"/>
      <c r="BO179" s="12"/>
      <c r="BP179" s="12"/>
      <c r="BQ179" s="12"/>
      <c r="BR179" s="12"/>
      <c r="BS179" s="12"/>
      <c r="BT179" s="12"/>
      <c r="BU179" s="12"/>
      <c r="BV179" s="12"/>
      <c r="BW179" s="145"/>
    </row>
    <row r="180" spans="2:75">
      <c r="B180" s="115"/>
      <c r="C180" s="115"/>
      <c r="D180" s="115"/>
      <c r="E180" s="115"/>
      <c r="F180" s="115"/>
      <c r="G180" s="115"/>
      <c r="H180" s="115"/>
      <c r="I180" s="115"/>
      <c r="J180" s="115"/>
      <c r="K180" s="115"/>
      <c r="L180" s="114"/>
      <c r="AF180" s="60"/>
      <c r="AG180" s="66" t="s">
        <v>690</v>
      </c>
      <c r="AH180" s="12"/>
      <c r="AI180" s="12"/>
      <c r="AJ180" s="404" t="s">
        <v>733</v>
      </c>
      <c r="AK180" s="404" t="s">
        <v>735</v>
      </c>
      <c r="AL180" s="404" t="s">
        <v>736</v>
      </c>
      <c r="AM180" s="404" t="s">
        <v>737</v>
      </c>
      <c r="AN180" s="404" t="s">
        <v>738</v>
      </c>
      <c r="AO180" s="404" t="s">
        <v>739</v>
      </c>
      <c r="AP180" s="404" t="s">
        <v>740</v>
      </c>
      <c r="AQ180" s="404" t="s">
        <v>741</v>
      </c>
      <c r="AR180" s="404" t="s">
        <v>742</v>
      </c>
      <c r="AS180" s="404" t="s">
        <v>743</v>
      </c>
      <c r="AT180" s="404" t="s">
        <v>744</v>
      </c>
      <c r="AU180" s="404" t="s">
        <v>745</v>
      </c>
      <c r="AV180" s="404" t="s">
        <v>746</v>
      </c>
      <c r="AW180" s="404" t="s">
        <v>734</v>
      </c>
      <c r="AX180" s="404" t="s">
        <v>747</v>
      </c>
      <c r="AY180" s="404" t="s">
        <v>748</v>
      </c>
      <c r="AZ180" s="404" t="s">
        <v>749</v>
      </c>
      <c r="BA180" s="404" t="s">
        <v>750</v>
      </c>
      <c r="BB180" s="404" t="s">
        <v>751</v>
      </c>
      <c r="BC180" s="404" t="s">
        <v>752</v>
      </c>
      <c r="BD180" s="404" t="s">
        <v>753</v>
      </c>
      <c r="BE180" s="404" t="s">
        <v>754</v>
      </c>
      <c r="BF180" s="404" t="s">
        <v>755</v>
      </c>
      <c r="BG180" s="404" t="s">
        <v>756</v>
      </c>
      <c r="BH180" s="404" t="s">
        <v>757</v>
      </c>
      <c r="BI180" s="404" t="s">
        <v>758</v>
      </c>
      <c r="BJ180" s="404" t="s">
        <v>759</v>
      </c>
      <c r="BK180" s="404" t="s">
        <v>760</v>
      </c>
      <c r="BL180" s="404" t="s">
        <v>761</v>
      </c>
      <c r="BM180" s="404" t="s">
        <v>762</v>
      </c>
      <c r="BN180" s="404" t="s">
        <v>763</v>
      </c>
      <c r="BO180" s="405" t="s">
        <v>764</v>
      </c>
      <c r="BP180" s="404" t="s">
        <v>765</v>
      </c>
      <c r="BQ180" s="404" t="s">
        <v>766</v>
      </c>
      <c r="BR180" s="404" t="s">
        <v>767</v>
      </c>
      <c r="BS180" s="404" t="s">
        <v>768</v>
      </c>
      <c r="BT180" s="404" t="s">
        <v>769</v>
      </c>
      <c r="BU180" s="404" t="s">
        <v>770</v>
      </c>
      <c r="BV180" s="404"/>
      <c r="BW180" s="404"/>
    </row>
    <row r="181" spans="2:75">
      <c r="AF181" s="60"/>
      <c r="AG181" s="12"/>
      <c r="AH181" s="12" t="str">
        <f ca="1">VLOOKUP(I1,Table,3,FALSE)</f>
        <v>E1433</v>
      </c>
      <c r="AI181" s="61" t="str">
        <f>+$F$18</f>
        <v>Hastings</v>
      </c>
      <c r="AJ181" s="62">
        <f>$I$33</f>
        <v>39562</v>
      </c>
      <c r="AK181" s="62">
        <f>$I$35</f>
        <v>479</v>
      </c>
      <c r="AL181" s="62">
        <f>$I$37</f>
        <v>37633</v>
      </c>
      <c r="AM181" s="62">
        <f>$I$39</f>
        <v>38112</v>
      </c>
      <c r="AN181" s="62">
        <f>$I$42</f>
        <v>96.33</v>
      </c>
      <c r="AO181" s="62">
        <f>$I$45</f>
        <v>737</v>
      </c>
      <c r="AP181" s="62">
        <f>$I$47</f>
        <v>540</v>
      </c>
      <c r="AQ181" s="62">
        <f>$I$49</f>
        <v>38910</v>
      </c>
      <c r="AR181" s="62">
        <f>$I$59</f>
        <v>13406</v>
      </c>
      <c r="AS181" s="62">
        <f>$I$61</f>
        <v>11131</v>
      </c>
      <c r="AT181" s="62">
        <f>$I$63</f>
        <v>10905</v>
      </c>
      <c r="AU181" s="62">
        <f>$I$65</f>
        <v>3468</v>
      </c>
      <c r="AV181" s="62">
        <f>$I$71</f>
        <v>0</v>
      </c>
      <c r="AW181" s="62">
        <f>$K$33</f>
        <v>21898</v>
      </c>
      <c r="AX181" s="62">
        <f>$K$35</f>
        <v>21</v>
      </c>
      <c r="AY181" s="62">
        <f>$K$37</f>
        <v>21402</v>
      </c>
      <c r="AZ181" s="62">
        <f>$K$39</f>
        <v>21423</v>
      </c>
      <c r="BA181" s="62">
        <f>$K$42</f>
        <v>97.83</v>
      </c>
      <c r="BB181" s="62">
        <f>$K$45</f>
        <v>342</v>
      </c>
      <c r="BC181" s="62">
        <f>$K$47</f>
        <v>220</v>
      </c>
      <c r="BD181" s="62">
        <f>$K$49</f>
        <v>21964</v>
      </c>
      <c r="BE181" s="62">
        <f>$K$59</f>
        <v>8171</v>
      </c>
      <c r="BF181" s="62">
        <f>$K$61</f>
        <v>5905</v>
      </c>
      <c r="BG181" s="62">
        <f>$K$63</f>
        <v>5906</v>
      </c>
      <c r="BH181" s="62">
        <f>$K$65</f>
        <v>1982</v>
      </c>
      <c r="BI181" s="62">
        <f>$K$95</f>
        <v>0</v>
      </c>
      <c r="BJ181" s="62">
        <f>K97</f>
        <v>0</v>
      </c>
      <c r="BK181" s="62">
        <f>$K$103</f>
        <v>4962</v>
      </c>
      <c r="BL181" s="62">
        <f>$K$105</f>
        <v>130</v>
      </c>
      <c r="BM181" s="62">
        <f>$K$108</f>
        <v>5092</v>
      </c>
      <c r="BN181" s="62">
        <f>$K$110</f>
        <v>920</v>
      </c>
      <c r="BO181" s="62">
        <f>$K$112</f>
        <v>28</v>
      </c>
      <c r="BP181" s="62">
        <f>$K$116</f>
        <v>4143</v>
      </c>
      <c r="BQ181" s="62">
        <f>$K$118</f>
        <v>1634</v>
      </c>
      <c r="BR181" s="62">
        <f>$K$120</f>
        <v>3</v>
      </c>
      <c r="BS181" s="62">
        <f>$K$122</f>
        <v>1631</v>
      </c>
      <c r="BT181" s="62">
        <f>$K$124</f>
        <v>5774</v>
      </c>
      <c r="BU181" s="62">
        <f>$K$127</f>
        <v>588</v>
      </c>
      <c r="BV181" s="62"/>
      <c r="BW181" s="146"/>
    </row>
    <row r="182" spans="2:75" ht="15.75" thickBot="1">
      <c r="AF182" s="63"/>
      <c r="AG182" s="64"/>
      <c r="AH182" s="64"/>
      <c r="AI182" s="64"/>
      <c r="AJ182" s="64"/>
      <c r="AK182" s="64"/>
      <c r="AL182" s="64"/>
      <c r="AM182" s="64"/>
      <c r="AN182" s="64"/>
      <c r="AO182" s="64"/>
      <c r="AP182" s="64"/>
      <c r="AQ182" s="64"/>
      <c r="AR182" s="64"/>
      <c r="AS182" s="64"/>
      <c r="AT182" s="64"/>
      <c r="AU182" s="64"/>
      <c r="AV182" s="64"/>
      <c r="AW182" s="64"/>
      <c r="AX182" s="64"/>
      <c r="AY182" s="64"/>
      <c r="AZ182" s="64"/>
      <c r="BA182" s="64"/>
      <c r="BB182" s="64"/>
      <c r="BC182" s="64"/>
      <c r="BD182" s="64"/>
      <c r="BE182" s="64"/>
      <c r="BF182" s="64"/>
      <c r="BG182" s="64"/>
      <c r="BH182" s="64"/>
      <c r="BI182" s="64"/>
      <c r="BJ182" s="64"/>
      <c r="BK182" s="64"/>
      <c r="BL182" s="64"/>
      <c r="BM182" s="64"/>
      <c r="BN182" s="64"/>
      <c r="BO182" s="64"/>
      <c r="BP182" s="64"/>
      <c r="BQ182" s="64"/>
      <c r="BR182" s="64"/>
      <c r="BS182" s="64"/>
      <c r="BT182" s="64"/>
      <c r="BU182" s="64"/>
      <c r="BV182" s="64"/>
      <c r="BW182" s="147"/>
    </row>
    <row r="183" spans="2:75">
      <c r="AG183" s="12"/>
      <c r="AH183" s="12"/>
      <c r="AI183" s="12"/>
      <c r="AJ183" s="12"/>
      <c r="AK183" s="12"/>
      <c r="AL183" s="12"/>
      <c r="AM183" s="12"/>
      <c r="AN183" s="12"/>
      <c r="AO183" s="12"/>
      <c r="AP183" s="12"/>
      <c r="AQ183" s="12"/>
      <c r="AR183" s="12"/>
      <c r="AS183" s="12"/>
      <c r="AT183" s="12"/>
      <c r="AU183" s="12"/>
      <c r="AV183" s="12"/>
      <c r="AW183" s="12"/>
      <c r="AX183" s="12"/>
      <c r="AY183" s="12"/>
      <c r="AZ183" s="12"/>
      <c r="BA183" s="12"/>
      <c r="BB183" s="12"/>
      <c r="BC183" s="12"/>
      <c r="BD183" s="12"/>
      <c r="BE183" s="12"/>
      <c r="BF183" s="12"/>
      <c r="BG183" s="12"/>
      <c r="BH183" s="12"/>
      <c r="BI183" s="12"/>
      <c r="BJ183" s="12"/>
      <c r="BK183" s="12"/>
      <c r="BL183" s="12"/>
      <c r="BM183" s="12"/>
      <c r="BN183" s="12"/>
      <c r="BO183" s="12"/>
    </row>
    <row r="185" spans="2:75">
      <c r="AH185" t="str">
        <f>CONCATENATE("000",AH181,"QRC408XXX,",AJ181,",",AK181,",",AL181,",",AM181,",",AN181,",",AO181,",",AP181,",",AQ181,",",AR181,",",AS181,",")</f>
        <v>000E1433QRC408XXX,39562,479,37633,38112,96.33,737,540,38910,13406,11131,</v>
      </c>
    </row>
    <row r="186" spans="2:75">
      <c r="AH186" t="str">
        <f>CONCATENATE("000",AH181,"QRC408XXX,",AT181,",",AU181,",",AV181,",",AW181,",",AX181,",",AY181,",",AZ181,",",BA181,",",BB181,",",BC181,",")</f>
        <v>000E1433QRC408XXX,10905,3468,0,21898,21,21402,21423,97.83,342,220,</v>
      </c>
    </row>
    <row r="187" spans="2:75">
      <c r="AH187" t="str">
        <f>CONCATENATE("000",AH181,"QRC408XXX,",BD181,",",BE181,",",BF181,",",BG181,",",BH181,",",BI181,",",BJ181,",",BK181,",",BL181,",",BM181,",")</f>
        <v>000E1433QRC408XXX,21964,8171,5905,5906,1982,0,0,4962,130,5092,</v>
      </c>
    </row>
    <row r="188" spans="2:75">
      <c r="AH188" t="str">
        <f>CONCATENATE("000",AH181,"QRC408XXX,",BN181,",",BO181,",",BP181,",",BQ181,",",BR181,",",BS181,",",BT181,",",BU181,",")</f>
        <v>000E1433QRC408XXX,920,28,4143,1634,3,1631,5774,588,</v>
      </c>
    </row>
    <row r="190" spans="2:75">
      <c r="AH190" t="str">
        <f ca="1">VLOOKUP(I1,Table,3,FALSE)</f>
        <v>E1433</v>
      </c>
      <c r="AI190" t="str">
        <f>F18</f>
        <v>Hastings</v>
      </c>
      <c r="AJ190" t="str">
        <f>F19</f>
        <v>NICK BROCKLEBANK</v>
      </c>
      <c r="AK190" t="str">
        <f>F20</f>
        <v>01424 451563</v>
      </c>
      <c r="AL190" t="str">
        <f>F21</f>
        <v>nbrocklebank@hastings.gov.uk</v>
      </c>
    </row>
  </sheetData>
  <mergeCells count="27">
    <mergeCell ref="A151:L151"/>
    <mergeCell ref="A87:L87"/>
    <mergeCell ref="A88:L88"/>
    <mergeCell ref="A93:L93"/>
    <mergeCell ref="A99:L99"/>
    <mergeCell ref="B110:I110"/>
    <mergeCell ref="B105:I105"/>
    <mergeCell ref="C18:E18"/>
    <mergeCell ref="F18:I18"/>
    <mergeCell ref="C21:E21"/>
    <mergeCell ref="A85:L85"/>
    <mergeCell ref="B129:K137"/>
    <mergeCell ref="F76:K84"/>
    <mergeCell ref="K67:K69"/>
    <mergeCell ref="F21:I21"/>
    <mergeCell ref="I67:I69"/>
    <mergeCell ref="B76:D84"/>
    <mergeCell ref="F19:I19"/>
    <mergeCell ref="F20:I20"/>
    <mergeCell ref="C19:E19"/>
    <mergeCell ref="C20:E20"/>
    <mergeCell ref="C1:F1"/>
    <mergeCell ref="A2:L2"/>
    <mergeCell ref="A3:L3"/>
    <mergeCell ref="A6:L6"/>
    <mergeCell ref="A7:L7"/>
    <mergeCell ref="A8:L8"/>
  </mergeCells>
  <phoneticPr fontId="0" type="noConversion"/>
  <conditionalFormatting sqref="K108">
    <cfRule type="cellIs" dxfId="51" priority="1" stopIfTrue="1" operator="equal">
      <formula>"Can not be negative"</formula>
    </cfRule>
  </conditionalFormatting>
  <conditionalFormatting sqref="I33">
    <cfRule type="expression" dxfId="50" priority="2" stopIfTrue="1">
      <formula>$P$33=1</formula>
    </cfRule>
  </conditionalFormatting>
  <conditionalFormatting sqref="K33">
    <cfRule type="expression" dxfId="49" priority="3" stopIfTrue="1">
      <formula>$V$33=1</formula>
    </cfRule>
  </conditionalFormatting>
  <conditionalFormatting sqref="I35">
    <cfRule type="expression" priority="4" stopIfTrue="1">
      <formula>$P$35=1</formula>
    </cfRule>
  </conditionalFormatting>
  <conditionalFormatting sqref="K35">
    <cfRule type="expression" dxfId="48" priority="5" stopIfTrue="1">
      <formula>$V$35=1</formula>
    </cfRule>
  </conditionalFormatting>
  <conditionalFormatting sqref="I37">
    <cfRule type="expression" dxfId="47" priority="6" stopIfTrue="1">
      <formula>$P$37=1</formula>
    </cfRule>
  </conditionalFormatting>
  <conditionalFormatting sqref="K37">
    <cfRule type="expression" dxfId="46" priority="7" stopIfTrue="1">
      <formula>$V$37=1</formula>
    </cfRule>
  </conditionalFormatting>
  <dataValidations count="2">
    <dataValidation type="custom" allowBlank="1" showInputMessage="1" showErrorMessage="1" errorTitle="Value is negative or too high" error="The net collectable debit figure cannot be negative._x000a_If the amount is not negative please ensure it has been entered as pounds thousands" sqref="I33">
      <formula1>P33=0</formula1>
    </dataValidation>
    <dataValidation type="custom" allowBlank="1" showInputMessage="1" showErrorMessage="1" errorTitle="Value is negative or too high" error="The net collectable debit figure cannot be negative._x000a_If the amount is not negative please ensure it has been entered as pounds thousands" sqref="K33">
      <formula1>V33=0</formula1>
    </dataValidation>
  </dataValidations>
  <hyperlinks>
    <hyperlink ref="E4" r:id="rId1"/>
    <hyperlink ref="F21" r:id="rId2"/>
  </hyperlinks>
  <printOptions horizontalCentered="1"/>
  <pageMargins left="0.19685039370078741" right="0.19685039370078741" top="0.59055118110236227" bottom="0.59055118110236227" header="0.19685039370078741" footer="0.19685039370078741"/>
  <pageSetup paperSize="9" scale="52" fitToHeight="2" orientation="portrait" r:id="rId3"/>
  <headerFooter alignWithMargins="0"/>
  <rowBreaks count="1" manualBreakCount="1">
    <brk id="85" max="11" man="1"/>
  </rowBreaks>
  <ignoredErrors>
    <ignoredError sqref="I32 K32 I44 K44 I58 K58 K94 K102" numberStoredAsText="1"/>
  </ignoredErrors>
  <drawing r:id="rId4"/>
  <legacyDrawing r:id="rId5"/>
</worksheet>
</file>

<file path=xl/worksheets/sheet3.xml><?xml version="1.0" encoding="utf-8"?>
<worksheet xmlns="http://schemas.openxmlformats.org/spreadsheetml/2006/main" xmlns:r="http://schemas.openxmlformats.org/officeDocument/2006/relationships">
  <sheetPr codeName="Sheet3"/>
  <dimension ref="A1:S189"/>
  <sheetViews>
    <sheetView showGridLines="0" topLeftCell="A151" zoomScale="75" zoomScaleNormal="75" workbookViewId="0">
      <selection activeCell="J173" sqref="J173:K173"/>
    </sheetView>
  </sheetViews>
  <sheetFormatPr defaultRowHeight="15"/>
  <cols>
    <col min="1" max="1" width="2.85546875" style="34" customWidth="1"/>
    <col min="2" max="2" width="71.42578125" style="35" customWidth="1"/>
    <col min="3" max="3" width="23.28515625" style="31" bestFit="1" customWidth="1"/>
    <col min="4" max="4" width="17.28515625" style="34" bestFit="1" customWidth="1"/>
    <col min="5" max="6" width="14.7109375" style="34" customWidth="1"/>
    <col min="7" max="7" width="14.5703125" style="34" customWidth="1"/>
    <col min="8" max="8" width="11" style="34" customWidth="1"/>
    <col min="9" max="9" width="3.85546875" style="34" customWidth="1"/>
    <col min="10" max="10" width="56.7109375" style="34" customWidth="1"/>
    <col min="11" max="11" width="42.7109375" style="34" customWidth="1"/>
    <col min="12" max="12" width="11.85546875" style="38" customWidth="1"/>
  </cols>
  <sheetData>
    <row r="1" spans="1:19" s="36" customFormat="1" ht="15.75" thickTop="1" thickBot="1">
      <c r="A1" s="348"/>
      <c r="B1" s="349"/>
      <c r="C1" s="349"/>
      <c r="D1" s="350"/>
      <c r="E1" s="349"/>
      <c r="F1" s="349"/>
      <c r="G1" s="349"/>
      <c r="H1" s="548"/>
      <c r="I1" s="548"/>
      <c r="J1" s="548"/>
      <c r="K1" s="351"/>
      <c r="L1"/>
      <c r="M1"/>
      <c r="N1"/>
      <c r="O1"/>
      <c r="P1"/>
      <c r="Q1"/>
      <c r="R1"/>
      <c r="S1"/>
    </row>
    <row r="2" spans="1:19" s="36" customFormat="1" ht="18.75" thickBot="1">
      <c r="A2" s="352"/>
      <c r="B2" s="309"/>
      <c r="C2" s="311" t="str">
        <f ca="1">CONCATENATE("LA : ",+'QRC4 Form'!F18)</f>
        <v>LA : Hastings</v>
      </c>
      <c r="D2" s="309"/>
      <c r="E2" s="309"/>
      <c r="F2" s="309"/>
      <c r="G2" s="309"/>
      <c r="H2" s="309"/>
      <c r="I2" s="309"/>
      <c r="J2" s="309"/>
      <c r="K2" s="353"/>
      <c r="L2"/>
      <c r="M2"/>
      <c r="N2"/>
      <c r="O2"/>
      <c r="P2"/>
      <c r="Q2"/>
      <c r="R2"/>
      <c r="S2"/>
    </row>
    <row r="3" spans="1:19" s="36" customFormat="1" ht="18">
      <c r="A3" s="352"/>
      <c r="B3" s="303"/>
      <c r="C3" s="309"/>
      <c r="D3" s="303"/>
      <c r="E3" s="303"/>
      <c r="F3" s="303"/>
      <c r="G3" s="303"/>
      <c r="H3" s="303"/>
      <c r="I3" s="303"/>
      <c r="J3" s="303"/>
      <c r="K3" s="354"/>
      <c r="L3"/>
      <c r="M3"/>
      <c r="N3"/>
      <c r="O3"/>
      <c r="P3"/>
      <c r="Q3"/>
      <c r="R3"/>
      <c r="S3"/>
    </row>
    <row r="4" spans="1:19" s="36" customFormat="1" ht="18">
      <c r="A4" s="687" t="s">
        <v>777</v>
      </c>
      <c r="B4" s="688"/>
      <c r="C4" s="688"/>
      <c r="D4" s="688"/>
      <c r="E4" s="688"/>
      <c r="F4" s="688"/>
      <c r="G4" s="688"/>
      <c r="H4" s="688"/>
      <c r="I4" s="688"/>
      <c r="J4" s="688"/>
      <c r="K4" s="689"/>
      <c r="L4"/>
      <c r="M4"/>
      <c r="N4"/>
      <c r="O4"/>
      <c r="P4"/>
      <c r="Q4"/>
      <c r="R4"/>
      <c r="S4"/>
    </row>
    <row r="5" spans="1:19" s="36" customFormat="1" ht="18" customHeight="1">
      <c r="A5" s="683" t="s">
        <v>877</v>
      </c>
      <c r="B5" s="684"/>
      <c r="C5" s="684"/>
      <c r="D5" s="684"/>
      <c r="E5" s="684"/>
      <c r="F5" s="684"/>
      <c r="G5" s="684"/>
      <c r="H5" s="684"/>
      <c r="I5" s="684"/>
      <c r="J5" s="684"/>
      <c r="K5" s="685"/>
      <c r="L5"/>
      <c r="M5"/>
      <c r="N5"/>
      <c r="O5"/>
      <c r="P5"/>
      <c r="Q5"/>
      <c r="R5"/>
      <c r="S5"/>
    </row>
    <row r="6" spans="1:19" s="36" customFormat="1" ht="18" customHeight="1">
      <c r="A6" s="686"/>
      <c r="B6" s="684"/>
      <c r="C6" s="684"/>
      <c r="D6" s="684"/>
      <c r="E6" s="684"/>
      <c r="F6" s="684"/>
      <c r="G6" s="684"/>
      <c r="H6" s="684"/>
      <c r="I6" s="684"/>
      <c r="J6" s="684"/>
      <c r="K6" s="685"/>
      <c r="L6"/>
      <c r="M6"/>
      <c r="N6"/>
      <c r="O6"/>
      <c r="P6"/>
      <c r="Q6"/>
      <c r="R6"/>
      <c r="S6"/>
    </row>
    <row r="7" spans="1:19" s="36" customFormat="1" thickBot="1">
      <c r="A7" s="352"/>
      <c r="B7" s="363"/>
      <c r="C7" s="310"/>
      <c r="D7" s="364"/>
      <c r="E7" s="310"/>
      <c r="F7" s="310"/>
      <c r="G7" s="310"/>
      <c r="H7" s="310"/>
      <c r="I7" s="310"/>
      <c r="J7" s="310"/>
      <c r="K7" s="365"/>
      <c r="L7"/>
      <c r="M7"/>
      <c r="N7"/>
      <c r="O7"/>
      <c r="P7"/>
      <c r="Q7"/>
      <c r="R7"/>
      <c r="S7"/>
    </row>
    <row r="8" spans="1:19" s="36" customFormat="1" ht="18">
      <c r="A8" s="355"/>
      <c r="B8" s="692"/>
      <c r="C8" s="692"/>
      <c r="D8" s="692"/>
      <c r="E8" s="692"/>
      <c r="F8" s="692"/>
      <c r="G8" s="692"/>
      <c r="H8" s="692"/>
      <c r="I8" s="692"/>
      <c r="J8" s="692"/>
      <c r="K8" s="356">
        <f ca="1">+'QRC4 Form'!L9</f>
        <v>0</v>
      </c>
      <c r="L8" s="234"/>
      <c r="M8" s="235"/>
    </row>
    <row r="9" spans="1:19" ht="39" customHeight="1" thickBot="1">
      <c r="A9" s="366"/>
      <c r="B9" s="360"/>
      <c r="C9" s="360"/>
      <c r="D9" s="367"/>
      <c r="E9" s="368" t="s">
        <v>798</v>
      </c>
      <c r="F9" s="369" t="s">
        <v>778</v>
      </c>
      <c r="G9" s="370" t="s">
        <v>800</v>
      </c>
      <c r="H9" s="369"/>
      <c r="I9" s="369"/>
      <c r="J9" s="367"/>
      <c r="K9" s="371"/>
      <c r="L9" s="50"/>
      <c r="M9" s="12"/>
    </row>
    <row r="10" spans="1:19" ht="15.95" customHeight="1" thickTop="1">
      <c r="A10" s="693"/>
      <c r="B10" s="237"/>
      <c r="C10" s="26"/>
      <c r="D10" s="39"/>
      <c r="E10" s="39"/>
      <c r="F10" s="39"/>
      <c r="G10" s="39"/>
      <c r="H10" s="39"/>
      <c r="I10" s="39"/>
      <c r="J10" s="39"/>
      <c r="K10" s="357"/>
      <c r="L10" s="50"/>
      <c r="M10" s="12"/>
    </row>
    <row r="11" spans="1:19" ht="15.95" customHeight="1">
      <c r="A11" s="658"/>
      <c r="B11" s="237"/>
      <c r="C11" s="26"/>
      <c r="D11" s="39"/>
      <c r="E11" s="39"/>
      <c r="F11" s="39"/>
      <c r="G11" s="39"/>
      <c r="H11" s="39"/>
      <c r="I11" s="39"/>
      <c r="J11" s="39"/>
      <c r="K11" s="357"/>
      <c r="L11" s="50"/>
      <c r="M11" s="12"/>
    </row>
    <row r="12" spans="1:19" ht="15.95" customHeight="1">
      <c r="A12" s="658"/>
      <c r="B12" s="42" t="s">
        <v>878</v>
      </c>
      <c r="C12" s="26"/>
      <c r="D12" s="39"/>
      <c r="E12" s="39"/>
      <c r="F12" s="39"/>
      <c r="G12" s="39"/>
      <c r="H12" s="39"/>
      <c r="I12" s="39"/>
      <c r="J12" s="12"/>
      <c r="K12" s="357"/>
    </row>
    <row r="13" spans="1:19" ht="15.95" customHeight="1" thickBot="1">
      <c r="A13" s="658"/>
      <c r="B13" s="42"/>
      <c r="C13" s="319"/>
      <c r="D13" s="320"/>
      <c r="E13" s="39"/>
      <c r="F13" s="39"/>
      <c r="G13" s="39"/>
      <c r="H13" s="39"/>
      <c r="I13" s="39"/>
      <c r="J13" s="64"/>
      <c r="K13" s="357"/>
    </row>
    <row r="14" spans="1:19" ht="22.5" customHeight="1">
      <c r="A14" s="658"/>
      <c r="B14" s="318" t="s">
        <v>879</v>
      </c>
      <c r="C14" s="690"/>
      <c r="D14" s="32"/>
      <c r="E14" s="153">
        <f ca="1">'QRC4 Form'!I59</f>
        <v>13406</v>
      </c>
      <c r="F14" s="153">
        <f ca="1">'QRC4 Form'!K59</f>
        <v>8171</v>
      </c>
      <c r="G14" s="153"/>
      <c r="H14" s="153"/>
      <c r="I14" s="461"/>
      <c r="J14" s="667"/>
      <c r="K14" s="668"/>
      <c r="L14" s="307">
        <f>IF(AND((SUM(E18:F18)&lt;&gt;0),J14=""),1,0)</f>
        <v>0</v>
      </c>
      <c r="M14" s="307">
        <f>IF(AND((SUM(E18:F18)=0),J14=""),0,1)</f>
        <v>0</v>
      </c>
      <c r="N14" s="307">
        <f>IF(AND((SUM(E18:F18)=0),J14&lt;&gt;""),2,0)</f>
        <v>0</v>
      </c>
      <c r="O14" s="308">
        <f>SUM(L14:N14)</f>
        <v>0</v>
      </c>
    </row>
    <row r="15" spans="1:19" ht="18.75" customHeight="1">
      <c r="A15" s="658"/>
      <c r="B15" s="304" t="s">
        <v>781</v>
      </c>
      <c r="C15" s="691"/>
      <c r="D15" s="32"/>
      <c r="E15" s="153">
        <f ca="1">VLOOKUP('QRC4 Form'!I1,Data!A12:AM338,4,FALSE)</f>
        <v>13406</v>
      </c>
      <c r="F15" s="153">
        <f ca="1">VLOOKUP('QRC4 Form'!I1,Data!A12:AM338,8,FALSE)</f>
        <v>8171</v>
      </c>
      <c r="G15" s="39"/>
      <c r="H15" s="39"/>
      <c r="I15" s="40"/>
      <c r="J15" s="669"/>
      <c r="K15" s="670"/>
    </row>
    <row r="16" spans="1:19" ht="15.95" customHeight="1">
      <c r="A16" s="658"/>
      <c r="B16" s="306"/>
      <c r="C16" s="243" t="s">
        <v>714</v>
      </c>
      <c r="D16" s="262"/>
      <c r="E16" s="395">
        <f>IF(E14+E15=0," ",IF(E15=0," ",ABS(E14-E15)/E15*100))</f>
        <v>0</v>
      </c>
      <c r="F16" s="395">
        <f>IF(F14+F15=0," ",IF(F15=0," ",ABS(F14-F15)/F15*100))</f>
        <v>0</v>
      </c>
      <c r="G16" s="44"/>
      <c r="H16" s="44"/>
      <c r="I16" s="462"/>
      <c r="J16" s="669"/>
      <c r="K16" s="670"/>
    </row>
    <row r="17" spans="1:15" ht="15.95" customHeight="1" thickBot="1">
      <c r="A17" s="658"/>
      <c r="B17" s="26"/>
      <c r="C17" s="262"/>
      <c r="D17" s="262"/>
      <c r="E17" s="26"/>
      <c r="F17" s="26"/>
      <c r="G17" s="26"/>
      <c r="H17" s="26"/>
      <c r="I17" s="463"/>
      <c r="J17" s="669"/>
      <c r="K17" s="670"/>
    </row>
    <row r="18" spans="1:15" ht="30" customHeight="1" thickBot="1">
      <c r="A18" s="658"/>
      <c r="B18" s="305" t="str">
        <f>IF(SUM(E18:F18)=0,"Go to Test 2","Please explain the reason for the change in the yellow box on the right")</f>
        <v>Go to Test 2</v>
      </c>
      <c r="C18" s="263"/>
      <c r="D18" s="263" t="str">
        <f>IF(D16+D17=0," ",(D16-D17)/D17)</f>
        <v xml:space="preserve"> </v>
      </c>
      <c r="E18" s="322" t="str">
        <f ca="1">IF(AND(E15&gt;20,E16&gt;+Parameters!B5),E16,"")</f>
        <v/>
      </c>
      <c r="F18" s="322" t="str">
        <f ca="1">IF(AND(F15&gt;20,F16&gt;+Parameters!C5),F16,"")</f>
        <v/>
      </c>
      <c r="G18" s="317"/>
      <c r="H18" s="317"/>
      <c r="I18" s="464"/>
      <c r="J18" s="671"/>
      <c r="K18" s="672"/>
    </row>
    <row r="19" spans="1:15" ht="24" customHeight="1">
      <c r="A19" s="658"/>
      <c r="B19" s="26"/>
      <c r="C19" s="243"/>
      <c r="D19" s="243"/>
      <c r="E19" s="39"/>
      <c r="F19" s="39"/>
      <c r="G19" s="39"/>
      <c r="H19" s="39"/>
      <c r="I19" s="39"/>
      <c r="J19" s="673" t="s">
        <v>779</v>
      </c>
      <c r="K19" s="674"/>
    </row>
    <row r="20" spans="1:15" ht="15.95" customHeight="1" thickBot="1">
      <c r="A20" s="694"/>
      <c r="B20" s="372"/>
      <c r="C20" s="373"/>
      <c r="D20" s="373"/>
      <c r="E20" s="374"/>
      <c r="F20" s="374"/>
      <c r="G20" s="374"/>
      <c r="H20" s="374"/>
      <c r="I20" s="374"/>
      <c r="J20" s="373"/>
      <c r="K20" s="375"/>
    </row>
    <row r="21" spans="1:15" s="1" customFormat="1" ht="15.95" customHeight="1" thickTop="1">
      <c r="A21" s="660"/>
      <c r="B21" s="236"/>
      <c r="C21" s="238"/>
      <c r="D21" s="238"/>
      <c r="E21" s="39"/>
      <c r="F21" s="39"/>
      <c r="G21" s="39"/>
      <c r="H21" s="39"/>
      <c r="I21" s="39"/>
      <c r="J21" s="239"/>
      <c r="K21" s="357"/>
      <c r="L21" s="240"/>
    </row>
    <row r="22" spans="1:15" ht="15.95" customHeight="1">
      <c r="A22" s="661"/>
      <c r="B22" s="26"/>
      <c r="C22" s="26"/>
      <c r="D22" s="39"/>
      <c r="E22" s="39"/>
      <c r="F22" s="39"/>
      <c r="G22" s="39"/>
      <c r="H22" s="39"/>
      <c r="I22" s="39"/>
      <c r="J22" s="39"/>
      <c r="K22" s="357"/>
    </row>
    <row r="23" spans="1:15" ht="15" customHeight="1">
      <c r="A23" s="661"/>
      <c r="B23" s="42" t="s">
        <v>880</v>
      </c>
      <c r="C23" s="26"/>
      <c r="D23" s="39"/>
      <c r="E23" s="39"/>
      <c r="F23" s="39"/>
      <c r="G23" s="39"/>
      <c r="H23" s="39"/>
      <c r="I23" s="39"/>
      <c r="J23" s="39"/>
      <c r="K23" s="357"/>
    </row>
    <row r="24" spans="1:15" ht="15.95" customHeight="1" thickBot="1">
      <c r="A24" s="661"/>
      <c r="B24" s="331"/>
      <c r="C24" s="213"/>
      <c r="D24" s="32"/>
      <c r="E24" s="43"/>
      <c r="F24" s="43"/>
      <c r="G24" s="43"/>
      <c r="H24" s="43"/>
      <c r="I24" s="43"/>
      <c r="J24" s="12"/>
      <c r="K24" s="357"/>
    </row>
    <row r="25" spans="1:15" ht="22.5" customHeight="1">
      <c r="A25" s="661"/>
      <c r="B25" s="304" t="s">
        <v>881</v>
      </c>
      <c r="C25" s="262"/>
      <c r="D25" s="262"/>
      <c r="E25" s="153">
        <f ca="1">'QRC4 Form'!I61</f>
        <v>11131</v>
      </c>
      <c r="F25" s="391">
        <f ca="1">'QRC4 Form'!K61</f>
        <v>5905</v>
      </c>
      <c r="G25" s="39"/>
      <c r="H25" s="39"/>
      <c r="I25" s="39"/>
      <c r="J25" s="667"/>
      <c r="K25" s="668"/>
      <c r="L25" s="307">
        <f>IF(AND((SUM(E29:F29)&lt;&gt;0),J25=""),1,0)</f>
        <v>0</v>
      </c>
      <c r="M25" s="307">
        <f>IF(AND((SUM(E29:F29)=0),J25=""),0,1)</f>
        <v>0</v>
      </c>
      <c r="N25" s="307">
        <f>IF(AND((SUM(E29:F29)=0),J25&lt;&gt;""),2,0)</f>
        <v>0</v>
      </c>
      <c r="O25" s="308">
        <f>SUM(L25:N25)</f>
        <v>0</v>
      </c>
    </row>
    <row r="26" spans="1:15" ht="19.5" customHeight="1">
      <c r="A26" s="661"/>
      <c r="B26" s="26" t="s">
        <v>781</v>
      </c>
      <c r="C26" s="262"/>
      <c r="D26" s="262"/>
      <c r="E26" s="152">
        <f ca="1">VLOOKUP('QRC4 Form'!I1,Data!A12:AM338,5,FALSE)</f>
        <v>11131</v>
      </c>
      <c r="F26" s="152">
        <f ca="1">VLOOKUP('QRC4 Form'!I1,Data!A12:AM338,9,FALSE)</f>
        <v>5905</v>
      </c>
      <c r="G26" s="26"/>
      <c r="H26" s="26"/>
      <c r="I26" s="26"/>
      <c r="J26" s="669"/>
      <c r="K26" s="670"/>
    </row>
    <row r="27" spans="1:15" ht="15.95" customHeight="1">
      <c r="A27" s="661"/>
      <c r="B27" s="243"/>
      <c r="C27" s="263" t="s">
        <v>714</v>
      </c>
      <c r="D27" s="263" t="str">
        <f>IF(D25+D26=0," ",(D25-D26)/D26)</f>
        <v xml:space="preserve"> </v>
      </c>
      <c r="E27" s="395">
        <f>IF(E25+E26=0," ",IF(E26=0," ",ABS(E25-E26)/E26*100))</f>
        <v>0</v>
      </c>
      <c r="F27" s="395">
        <f>IF(F25+F26=0," ",IF(F26=0," ",ABS(F25-F26)/F26*100))</f>
        <v>0</v>
      </c>
      <c r="G27" s="39"/>
      <c r="H27" s="39"/>
      <c r="I27" s="39"/>
      <c r="J27" s="669"/>
      <c r="K27" s="670"/>
    </row>
    <row r="28" spans="1:15" ht="15.75" customHeight="1" thickBot="1">
      <c r="A28" s="661"/>
      <c r="B28" s="42"/>
      <c r="C28" s="243"/>
      <c r="D28" s="243"/>
      <c r="E28" s="39"/>
      <c r="F28" s="39"/>
      <c r="G28" s="39"/>
      <c r="H28" s="39"/>
      <c r="I28" s="39"/>
      <c r="J28" s="669"/>
      <c r="K28" s="670"/>
    </row>
    <row r="29" spans="1:15" ht="30" customHeight="1" thickBot="1">
      <c r="A29" s="661"/>
      <c r="B29" s="305" t="str">
        <f>IF(SUM(E29:F29)=0,"Go to Test 3","Please explain the reason for the change in the yellow box on the right")</f>
        <v>Go to Test 3</v>
      </c>
      <c r="C29" s="266"/>
      <c r="D29" s="266" t="str">
        <f>IF(D27=" "," ",IF(ABS(D27)&gt;10%,D27," "))</f>
        <v xml:space="preserve"> </v>
      </c>
      <c r="E29" s="322" t="str">
        <f ca="1">IF(AND(E26&gt;20,E27&gt;+Parameters!B6),E27,"")</f>
        <v/>
      </c>
      <c r="F29" s="322" t="str">
        <f ca="1">IF(AND(F26&gt;20,F27&gt;+Parameters!C6),F27,"")</f>
        <v/>
      </c>
      <c r="G29" s="26"/>
      <c r="H29" s="26"/>
      <c r="I29" s="26"/>
      <c r="J29" s="671"/>
      <c r="K29" s="672"/>
    </row>
    <row r="30" spans="1:15" ht="24" customHeight="1">
      <c r="A30" s="661"/>
      <c r="B30" s="236"/>
      <c r="C30" s="266"/>
      <c r="D30" s="266"/>
      <c r="E30" s="26"/>
      <c r="F30" s="26"/>
      <c r="G30" s="26"/>
      <c r="H30" s="26"/>
      <c r="I30" s="26"/>
      <c r="J30" s="673" t="s">
        <v>779</v>
      </c>
      <c r="K30" s="674"/>
    </row>
    <row r="31" spans="1:15" ht="15.75" customHeight="1" thickBot="1">
      <c r="A31" s="662"/>
      <c r="B31" s="372"/>
      <c r="C31" s="376"/>
      <c r="D31" s="376"/>
      <c r="E31" s="377"/>
      <c r="F31" s="377"/>
      <c r="G31" s="377"/>
      <c r="H31" s="377"/>
      <c r="I31" s="377"/>
      <c r="J31" s="373"/>
      <c r="K31" s="378"/>
    </row>
    <row r="32" spans="1:15" ht="15.95" customHeight="1" thickTop="1">
      <c r="A32" s="657"/>
      <c r="B32" s="236"/>
      <c r="C32" s="266"/>
      <c r="D32" s="266"/>
      <c r="E32" s="26"/>
      <c r="F32" s="26"/>
      <c r="G32" s="26"/>
      <c r="H32" s="26"/>
      <c r="I32" s="26"/>
      <c r="J32" s="39"/>
      <c r="K32" s="357"/>
    </row>
    <row r="33" spans="1:15" ht="15.95" customHeight="1">
      <c r="A33" s="658"/>
      <c r="B33" s="26"/>
      <c r="C33" s="26"/>
      <c r="D33" s="39"/>
      <c r="E33" s="39"/>
      <c r="F33" s="39"/>
      <c r="G33" s="39"/>
      <c r="H33" s="39"/>
      <c r="I33" s="39"/>
      <c r="J33" s="39"/>
      <c r="K33" s="357"/>
    </row>
    <row r="34" spans="1:15" ht="15.95" customHeight="1">
      <c r="A34" s="658"/>
      <c r="B34" s="42" t="s">
        <v>882</v>
      </c>
      <c r="C34" s="26"/>
      <c r="D34" s="39"/>
      <c r="E34" s="39"/>
      <c r="F34" s="39"/>
      <c r="G34" s="39"/>
      <c r="H34" s="39"/>
      <c r="I34" s="39"/>
      <c r="J34" s="336"/>
      <c r="K34" s="357"/>
    </row>
    <row r="35" spans="1:15" ht="15.95" customHeight="1" thickBot="1">
      <c r="A35" s="658"/>
      <c r="B35" s="32"/>
      <c r="C35" s="656"/>
      <c r="D35" s="32"/>
      <c r="E35" s="43"/>
      <c r="F35" s="43"/>
      <c r="G35" s="43"/>
      <c r="H35" s="43"/>
      <c r="I35" s="43"/>
      <c r="J35" s="336"/>
      <c r="K35" s="357"/>
    </row>
    <row r="36" spans="1:15" ht="15.95" customHeight="1">
      <c r="A36" s="658"/>
      <c r="B36" s="331" t="s">
        <v>883</v>
      </c>
      <c r="C36" s="604"/>
      <c r="D36" s="32"/>
      <c r="E36" s="153">
        <f ca="1">'QRC4 Form'!I63</f>
        <v>10905</v>
      </c>
      <c r="F36" s="391">
        <f ca="1">'QRC4 Form'!K63</f>
        <v>5906</v>
      </c>
      <c r="G36" s="43"/>
      <c r="H36" s="43"/>
      <c r="I36" s="43"/>
      <c r="J36" s="663"/>
      <c r="K36" s="664"/>
      <c r="L36" s="307">
        <f>IF(AND((SUM(E40:F40)&lt;&gt;0),J36=""),1,0)</f>
        <v>0</v>
      </c>
      <c r="M36" s="307">
        <f>IF(AND((SUM(E40:F40)=0),J36=""),0,1)</f>
        <v>0</v>
      </c>
      <c r="N36" s="307">
        <f>IF(AND((SUM(E40:F40)=0),J36&lt;&gt;""),2,0)</f>
        <v>0</v>
      </c>
      <c r="O36" s="334">
        <f>SUM(L36:N36)</f>
        <v>0</v>
      </c>
    </row>
    <row r="37" spans="1:15" ht="15.95" customHeight="1">
      <c r="A37" s="658"/>
      <c r="B37" s="304" t="s">
        <v>781</v>
      </c>
      <c r="C37" s="262"/>
      <c r="D37" s="262"/>
      <c r="E37" s="153">
        <f ca="1">VLOOKUP('QRC4 Form'!I1,Data!A12:AM338,6,FALSE)</f>
        <v>10905</v>
      </c>
      <c r="F37" s="153">
        <f ca="1">VLOOKUP('QRC4 Form'!I1,Data!A12:AM338,10,FALSE)</f>
        <v>5906</v>
      </c>
      <c r="G37" s="39"/>
      <c r="H37" s="39"/>
      <c r="I37" s="39"/>
      <c r="J37" s="665"/>
      <c r="K37" s="666"/>
    </row>
    <row r="38" spans="1:15" ht="20.25" customHeight="1">
      <c r="A38" s="658"/>
      <c r="B38" s="26"/>
      <c r="C38" s="263" t="s">
        <v>714</v>
      </c>
      <c r="D38" s="262"/>
      <c r="E38" s="395">
        <f>IF(E36+E37=0," ",IF(E37=0," ",ABS(E36-E37)/E37*100))</f>
        <v>0</v>
      </c>
      <c r="F38" s="395">
        <f>IF(F36+F37=0," ",IF(F37=0," ",ABS(F36-F37)/F37*100))</f>
        <v>0</v>
      </c>
      <c r="G38" s="39"/>
      <c r="H38" s="39"/>
      <c r="I38" s="39"/>
      <c r="J38" s="665"/>
      <c r="K38" s="666"/>
    </row>
    <row r="39" spans="1:15" ht="15.95" customHeight="1" thickBot="1">
      <c r="A39" s="658"/>
      <c r="B39" s="243"/>
      <c r="C39" s="337"/>
      <c r="D39" s="263"/>
      <c r="E39" s="336"/>
      <c r="F39" s="336"/>
      <c r="G39" s="39"/>
      <c r="H39" s="39"/>
      <c r="I39" s="39"/>
      <c r="J39" s="665"/>
      <c r="K39" s="666"/>
    </row>
    <row r="40" spans="1:15" ht="30" customHeight="1" thickBot="1">
      <c r="A40" s="658"/>
      <c r="B40" s="305" t="str">
        <f>IF(SUM(E40:F40)=0,"Go to Test 4","Please explain the reason for the change in the yellow box on the right")</f>
        <v>Go to Test 4</v>
      </c>
      <c r="C40" s="243"/>
      <c r="D40" s="243"/>
      <c r="E40" s="322" t="str">
        <f ca="1">IF(AND(E37&gt;20,E38&gt;+Parameters!B7),E38,"")</f>
        <v/>
      </c>
      <c r="F40" s="322" t="str">
        <f ca="1">IF(AND(F37&gt;20,F38&gt;+Parameters!C7),F38,"")</f>
        <v/>
      </c>
      <c r="G40" s="39"/>
      <c r="H40" s="39"/>
      <c r="I40" s="39"/>
      <c r="J40" s="665"/>
      <c r="K40" s="666"/>
    </row>
    <row r="41" spans="1:15" ht="24" customHeight="1">
      <c r="A41" s="658"/>
      <c r="B41" s="236"/>
      <c r="C41" s="238"/>
      <c r="D41" s="238"/>
      <c r="E41" s="26"/>
      <c r="F41" s="26"/>
      <c r="G41" s="26"/>
      <c r="H41" s="26"/>
      <c r="I41" s="26"/>
      <c r="J41" s="673" t="s">
        <v>780</v>
      </c>
      <c r="K41" s="674"/>
    </row>
    <row r="42" spans="1:15" ht="15.75" customHeight="1" thickBot="1">
      <c r="A42" s="659"/>
      <c r="B42" s="358"/>
      <c r="C42" s="359"/>
      <c r="D42" s="359"/>
      <c r="E42" s="360"/>
      <c r="F42" s="360"/>
      <c r="G42" s="360"/>
      <c r="H42" s="360"/>
      <c r="I42" s="360"/>
      <c r="J42" s="361"/>
      <c r="K42" s="362"/>
    </row>
    <row r="43" spans="1:15" ht="15.75" customHeight="1" thickTop="1">
      <c r="A43"/>
      <c r="B43"/>
      <c r="C43"/>
      <c r="D43"/>
      <c r="E43"/>
      <c r="F43"/>
      <c r="G43"/>
      <c r="H43"/>
      <c r="I43"/>
      <c r="J43"/>
      <c r="K43"/>
    </row>
    <row r="44" spans="1:15" ht="15.75" customHeight="1">
      <c r="A44"/>
      <c r="B44"/>
      <c r="C44"/>
      <c r="D44"/>
      <c r="E44"/>
      <c r="F44"/>
      <c r="G44"/>
      <c r="H44"/>
      <c r="I44"/>
      <c r="J44"/>
      <c r="K44"/>
    </row>
    <row r="45" spans="1:15" ht="15.75" customHeight="1">
      <c r="A45"/>
      <c r="B45"/>
      <c r="C45"/>
      <c r="D45"/>
      <c r="E45"/>
      <c r="F45"/>
      <c r="G45"/>
      <c r="H45"/>
      <c r="I45"/>
      <c r="J45"/>
      <c r="K45"/>
    </row>
    <row r="46" spans="1:15" ht="15.75" customHeight="1">
      <c r="A46"/>
      <c r="B46"/>
      <c r="C46"/>
      <c r="D46"/>
      <c r="E46"/>
      <c r="F46"/>
      <c r="G46"/>
      <c r="H46"/>
      <c r="I46"/>
      <c r="J46"/>
      <c r="K46"/>
    </row>
    <row r="47" spans="1:15" ht="15.75" customHeight="1">
      <c r="A47"/>
      <c r="B47"/>
      <c r="C47"/>
      <c r="D47"/>
      <c r="E47"/>
      <c r="F47"/>
      <c r="G47"/>
      <c r="H47"/>
      <c r="I47"/>
      <c r="J47"/>
      <c r="K47"/>
    </row>
    <row r="48" spans="1:15" ht="15.75" customHeight="1" thickBot="1">
      <c r="A48"/>
      <c r="B48"/>
      <c r="C48"/>
      <c r="D48"/>
      <c r="E48"/>
      <c r="F48"/>
      <c r="G48"/>
      <c r="H48"/>
      <c r="I48"/>
      <c r="J48"/>
      <c r="K48"/>
    </row>
    <row r="49" spans="1:15" ht="15.95" customHeight="1" thickBot="1">
      <c r="A49" s="247"/>
      <c r="B49" s="248" t="str">
        <f>+C2</f>
        <v>LA : Hastings</v>
      </c>
      <c r="C49" s="249"/>
      <c r="D49" s="249"/>
      <c r="E49" s="250"/>
      <c r="F49" s="250"/>
      <c r="G49" s="250"/>
      <c r="H49" s="250"/>
      <c r="I49" s="250"/>
      <c r="J49" s="251"/>
      <c r="K49" s="252">
        <f>+K8</f>
        <v>0</v>
      </c>
    </row>
    <row r="50" spans="1:15" ht="39" customHeight="1" thickBot="1">
      <c r="A50" s="41"/>
      <c r="B50" s="47"/>
      <c r="C50" s="47"/>
      <c r="D50" s="48"/>
      <c r="E50" s="312" t="s">
        <v>798</v>
      </c>
      <c r="F50" s="313" t="s">
        <v>778</v>
      </c>
      <c r="G50" s="335" t="s">
        <v>800</v>
      </c>
      <c r="H50" s="313"/>
      <c r="I50" s="313"/>
      <c r="J50" s="48"/>
      <c r="K50" s="49"/>
    </row>
    <row r="51" spans="1:15" ht="15.75" customHeight="1">
      <c r="A51" s="680"/>
      <c r="B51" s="12"/>
      <c r="C51" s="12"/>
      <c r="D51" s="12"/>
      <c r="E51" s="12"/>
      <c r="F51" s="12"/>
      <c r="G51" s="12"/>
      <c r="H51" s="12"/>
      <c r="I51" s="12"/>
      <c r="J51" s="12"/>
      <c r="K51" s="333"/>
    </row>
    <row r="52" spans="1:15">
      <c r="A52" s="681"/>
      <c r="B52" s="26"/>
      <c r="C52" s="26"/>
      <c r="D52" s="39"/>
      <c r="E52" s="39"/>
      <c r="F52" s="39"/>
      <c r="G52" s="39"/>
      <c r="H52" s="39"/>
      <c r="I52" s="39"/>
      <c r="J52" s="39"/>
      <c r="K52" s="40"/>
    </row>
    <row r="53" spans="1:15" ht="15.75">
      <c r="A53" s="681"/>
      <c r="B53" s="42" t="s">
        <v>884</v>
      </c>
      <c r="C53" s="26"/>
      <c r="D53" s="39"/>
      <c r="E53" s="39"/>
      <c r="F53" s="39"/>
      <c r="G53" s="39"/>
      <c r="H53" s="39"/>
      <c r="I53" s="39"/>
      <c r="J53" s="336"/>
      <c r="K53" s="40"/>
    </row>
    <row r="54" spans="1:15" ht="15.75" customHeight="1" thickBot="1">
      <c r="A54" s="681"/>
      <c r="B54" s="32"/>
      <c r="C54" s="656"/>
      <c r="D54" s="32"/>
      <c r="E54" s="43"/>
      <c r="F54" s="43"/>
      <c r="G54" s="43"/>
      <c r="H54" s="43"/>
      <c r="I54" s="43"/>
      <c r="J54" s="336"/>
      <c r="K54" s="40"/>
    </row>
    <row r="55" spans="1:15" ht="23.25">
      <c r="A55" s="681"/>
      <c r="B55" s="336" t="s">
        <v>885</v>
      </c>
      <c r="C55" s="604"/>
      <c r="D55" s="32"/>
      <c r="E55" s="153">
        <f>+E14+E25+E36</f>
        <v>35442</v>
      </c>
      <c r="F55" s="153">
        <f>+F14+F25+F36</f>
        <v>19982</v>
      </c>
      <c r="G55" s="43"/>
      <c r="H55" s="43"/>
      <c r="I55" s="43"/>
      <c r="J55" s="663"/>
      <c r="K55" s="675"/>
      <c r="L55" s="307">
        <f>IF(AND((SUM(E59:F59)&lt;&gt;0),J55=""),1,0)</f>
        <v>0</v>
      </c>
      <c r="M55" s="307">
        <f>IF(AND((SUM(E59:F59)=0),J55=""),0,1)</f>
        <v>0</v>
      </c>
      <c r="N55" s="307">
        <f>IF(AND((SUM(E59:F59)=0),J55&lt;&gt;""),2,0)</f>
        <v>0</v>
      </c>
      <c r="O55" s="334">
        <f>SUM(L55:N55)</f>
        <v>0</v>
      </c>
    </row>
    <row r="56" spans="1:15">
      <c r="A56" s="681"/>
      <c r="B56" s="336" t="s">
        <v>886</v>
      </c>
      <c r="C56" s="262"/>
      <c r="D56" s="262"/>
      <c r="E56" s="153">
        <f>+E15+E26+E37</f>
        <v>35442</v>
      </c>
      <c r="F56" s="153">
        <f>+F15+F26+F37</f>
        <v>19982</v>
      </c>
      <c r="G56" s="39"/>
      <c r="H56" s="39"/>
      <c r="I56" s="39"/>
      <c r="J56" s="676"/>
      <c r="K56" s="677"/>
    </row>
    <row r="57" spans="1:15">
      <c r="A57" s="681"/>
      <c r="B57" s="26"/>
      <c r="C57" s="243" t="s">
        <v>714</v>
      </c>
      <c r="D57" s="262"/>
      <c r="E57" s="395">
        <f>IF(E55+E56=0," ",IF(E56=0," ",ABS(E55-E56)/E56*100))</f>
        <v>0</v>
      </c>
      <c r="F57" s="395">
        <f>IF(F55+F56=0," ",IF(F56=0," ",ABS(F55-F56)/F56*100))</f>
        <v>0</v>
      </c>
      <c r="G57" s="39"/>
      <c r="H57" s="39"/>
      <c r="I57" s="39"/>
      <c r="J57" s="676"/>
      <c r="K57" s="677"/>
    </row>
    <row r="58" spans="1:15" ht="15.75" thickBot="1">
      <c r="A58" s="681"/>
      <c r="B58" s="243"/>
      <c r="C58" s="263"/>
      <c r="D58" s="263"/>
      <c r="E58" s="39"/>
      <c r="F58" s="39"/>
      <c r="G58" s="39"/>
      <c r="H58" s="39"/>
      <c r="I58" s="39"/>
      <c r="J58" s="676"/>
      <c r="K58" s="677"/>
    </row>
    <row r="59" spans="1:15" ht="29.25" customHeight="1" thickBot="1">
      <c r="A59" s="681"/>
      <c r="B59" s="305" t="str">
        <f>IF(SUM(E59:F59)=0,"Go to Test 5","Please explain the reason for the change in the yellow box on the right")</f>
        <v>Go to Test 5</v>
      </c>
      <c r="C59" s="337"/>
      <c r="D59" s="243"/>
      <c r="E59" s="322" t="str">
        <f ca="1">IF(AND(E56&gt;20,E57&gt;+Parameters!B8),E57,"")</f>
        <v/>
      </c>
      <c r="F59" s="322" t="str">
        <f ca="1">IF(AND(F56&gt;20,F57&gt;+Parameters!C8),F57,"")</f>
        <v/>
      </c>
      <c r="G59" s="39"/>
      <c r="H59" s="39"/>
      <c r="I59" s="39"/>
      <c r="J59" s="678"/>
      <c r="K59" s="679"/>
    </row>
    <row r="60" spans="1:15" ht="24" customHeight="1">
      <c r="A60" s="681"/>
      <c r="B60" s="42"/>
      <c r="C60" s="266" t="str">
        <f>IF(C58=" "," ",IF(ABS(C58)&gt;20%,C58," "))</f>
        <v xml:space="preserve"> </v>
      </c>
      <c r="D60" s="266" t="str">
        <f>IF(D58=" "," ",IF(ABS(D58)&gt;20%,D58," "))</f>
        <v xml:space="preserve"> </v>
      </c>
      <c r="E60" s="336"/>
      <c r="F60" s="336"/>
      <c r="G60" s="26"/>
      <c r="H60" s="26"/>
      <c r="I60" s="26"/>
      <c r="J60" s="673" t="s">
        <v>780</v>
      </c>
      <c r="K60" s="695"/>
    </row>
    <row r="61" spans="1:15" ht="15.75" thickBot="1">
      <c r="A61" s="682"/>
      <c r="B61" s="379"/>
      <c r="C61" s="377"/>
      <c r="D61" s="374"/>
      <c r="E61" s="374"/>
      <c r="F61" s="374"/>
      <c r="G61" s="374"/>
      <c r="H61" s="374"/>
      <c r="I61" s="374"/>
      <c r="J61" s="374"/>
      <c r="K61" s="380"/>
    </row>
    <row r="62" spans="1:15" ht="15.75" thickTop="1">
      <c r="A62" s="696"/>
      <c r="B62" s="26"/>
      <c r="C62" s="26"/>
      <c r="D62" s="39"/>
      <c r="E62" s="39"/>
      <c r="F62" s="39"/>
      <c r="G62" s="39"/>
      <c r="H62" s="39"/>
      <c r="I62" s="39"/>
      <c r="J62" s="39"/>
      <c r="K62" s="40"/>
    </row>
    <row r="63" spans="1:15">
      <c r="A63" s="697"/>
      <c r="B63" s="26"/>
      <c r="C63" s="26"/>
      <c r="D63" s="39"/>
      <c r="E63" s="39"/>
      <c r="F63" s="39"/>
      <c r="G63" s="39"/>
      <c r="H63" s="39"/>
      <c r="I63" s="39"/>
      <c r="J63" s="336"/>
      <c r="K63" s="40"/>
    </row>
    <row r="64" spans="1:15" ht="15.75">
      <c r="A64" s="697"/>
      <c r="B64" s="42" t="s">
        <v>887</v>
      </c>
      <c r="C64" s="26"/>
      <c r="D64" s="39"/>
      <c r="E64" s="39"/>
      <c r="F64" s="39"/>
      <c r="G64" s="39"/>
      <c r="H64" s="39"/>
      <c r="I64" s="39"/>
      <c r="J64" s="336"/>
      <c r="K64" s="40"/>
    </row>
    <row r="65" spans="1:15" ht="15.75" customHeight="1" thickBot="1">
      <c r="A65" s="697"/>
      <c r="B65" s="32"/>
      <c r="C65" s="213"/>
      <c r="D65" s="32"/>
      <c r="E65" s="43"/>
      <c r="F65" s="43"/>
      <c r="G65" s="43"/>
      <c r="H65" s="43"/>
      <c r="I65" s="43"/>
      <c r="J65" s="336"/>
      <c r="K65" s="40"/>
    </row>
    <row r="66" spans="1:15" ht="18" customHeight="1">
      <c r="A66" s="697"/>
      <c r="B66" s="318" t="s">
        <v>724</v>
      </c>
      <c r="C66" s="152"/>
      <c r="D66" s="262"/>
      <c r="E66" s="154">
        <f ca="1">'QRC4 Form'!I49</f>
        <v>38910</v>
      </c>
      <c r="F66" s="153">
        <f ca="1">'QRC4 Form'!K49</f>
        <v>21964</v>
      </c>
      <c r="G66" s="153">
        <f ca="1">'QRC4 Form'!K95</f>
        <v>0</v>
      </c>
      <c r="H66" s="153"/>
      <c r="I66" s="153"/>
      <c r="J66" s="699"/>
      <c r="K66" s="700"/>
      <c r="L66" s="307">
        <f>IF(AND((SUM(E70:G70)&lt;&gt;0),J66=""),1,0)</f>
        <v>0</v>
      </c>
      <c r="M66" s="307">
        <f>IF(AND((SUM(E70:G70)=0),J66=""),0,1)</f>
        <v>0</v>
      </c>
      <c r="N66" s="307">
        <f>IF(AND((SUM(E70:G70)=0),J66&lt;&gt;""),2,0)</f>
        <v>0</v>
      </c>
      <c r="O66" s="334">
        <f>SUM(L66:N66)</f>
        <v>0</v>
      </c>
    </row>
    <row r="67" spans="1:15" ht="15.95" customHeight="1">
      <c r="A67" s="697"/>
      <c r="B67" s="26" t="s">
        <v>888</v>
      </c>
      <c r="C67" s="152"/>
      <c r="D67" s="262"/>
      <c r="E67" s="154">
        <f ca="1">IF(E66+F66+G66=0,0,VLOOKUP('QRC4 Form'!$I$1,Data!$A$12:$AN$339,7,FALSE))</f>
        <v>35442</v>
      </c>
      <c r="F67" s="154">
        <f ca="1">IF(E66+F66+G66=0,0,VLOOKUP('QRC4 Form'!$I$1,Data!$A$12:$AN$339,11,FALSE))</f>
        <v>19982</v>
      </c>
      <c r="G67" s="154">
        <f ca="1">IF(E66+F66+G66=0,0,VLOOKUP('QRC4 Form'!$I$1,Data!$A$12:$AN$339,15,FALSE))</f>
        <v>0</v>
      </c>
      <c r="H67" s="152"/>
      <c r="I67" s="152"/>
      <c r="J67" s="701"/>
      <c r="K67" s="702"/>
    </row>
    <row r="68" spans="1:15" ht="19.5" customHeight="1">
      <c r="A68" s="697"/>
      <c r="B68" s="243"/>
      <c r="C68" s="243" t="s">
        <v>714</v>
      </c>
      <c r="D68" s="263" t="str">
        <f>IF(D66+D67=0," ",(D66-D67)/D67)</f>
        <v xml:space="preserve"> </v>
      </c>
      <c r="E68" s="395">
        <f>IF(E66+E67=0," ",IF(E67=0," ",(E67-E66)/E66*100))</f>
        <v>-8.9128758673862762</v>
      </c>
      <c r="F68" s="395">
        <f>IF(F66+F67=0," ",IF(F67=0," ",(F67-F66)/F66*100))</f>
        <v>-9.0238572209069385</v>
      </c>
      <c r="G68" s="406" t="str">
        <f>IF(G66+G67=0," ",IF(G67=0," ",ABS(G66-G67)))</f>
        <v xml:space="preserve"> </v>
      </c>
      <c r="H68" s="154"/>
      <c r="I68" s="154"/>
      <c r="J68" s="701"/>
      <c r="K68" s="702"/>
    </row>
    <row r="69" spans="1:15" ht="15.75" customHeight="1" thickBot="1">
      <c r="A69" s="697"/>
      <c r="B69" s="26"/>
      <c r="C69" s="337"/>
      <c r="D69" s="243"/>
      <c r="E69" s="243"/>
      <c r="F69" s="39"/>
      <c r="G69" s="39"/>
      <c r="H69" s="39"/>
      <c r="I69" s="39"/>
      <c r="J69" s="701"/>
      <c r="K69" s="702"/>
    </row>
    <row r="70" spans="1:15" ht="30" customHeight="1" thickBot="1">
      <c r="A70" s="697"/>
      <c r="B70" s="305" t="str">
        <f>IF(SUM(E70:F70)=0,"Go to Test 6","Please explain the reason for the difference in the yellow box on the right")</f>
        <v>Go to Test 6</v>
      </c>
      <c r="C70" s="332"/>
      <c r="D70" s="266"/>
      <c r="E70" s="407" t="str">
        <f ca="1">IF(AND(E67&gt;E66,E68&gt;+Parameters!B9),E68,"")</f>
        <v/>
      </c>
      <c r="F70" s="407" t="str">
        <f ca="1">IF(AND(F67&gt;F66,F68&gt;+Parameters!C9),F68,"")</f>
        <v/>
      </c>
      <c r="G70" s="407" t="str">
        <f ca="1">IF(AND(G67&gt;G66,G68&gt;+Parameters!D9),G68,"")</f>
        <v/>
      </c>
      <c r="H70" s="314"/>
      <c r="I70" s="314"/>
      <c r="J70" s="703"/>
      <c r="K70" s="704"/>
    </row>
    <row r="71" spans="1:15" ht="24" customHeight="1">
      <c r="A71" s="697"/>
      <c r="B71" s="26"/>
      <c r="C71" s="26"/>
      <c r="D71" s="39"/>
      <c r="E71" s="39"/>
      <c r="F71" s="39"/>
      <c r="G71" s="39"/>
      <c r="H71" s="39"/>
      <c r="I71" s="39"/>
      <c r="J71" s="673" t="s">
        <v>799</v>
      </c>
      <c r="K71" s="695"/>
    </row>
    <row r="72" spans="1:15" ht="15.75" thickBot="1">
      <c r="A72" s="698"/>
      <c r="B72" s="379"/>
      <c r="C72" s="377"/>
      <c r="D72" s="374"/>
      <c r="E72" s="374"/>
      <c r="F72" s="374"/>
      <c r="G72" s="374"/>
      <c r="H72" s="374"/>
      <c r="I72" s="374"/>
      <c r="J72" s="374"/>
      <c r="K72" s="380"/>
    </row>
    <row r="73" spans="1:15" ht="15.75" thickTop="1">
      <c r="A73" s="705"/>
      <c r="B73" s="26"/>
      <c r="C73" s="26"/>
      <c r="D73" s="39"/>
      <c r="E73" s="39"/>
      <c r="F73" s="39"/>
      <c r="G73" s="39"/>
      <c r="H73" s="39"/>
      <c r="I73" s="39"/>
      <c r="J73" s="39"/>
      <c r="K73" s="40"/>
    </row>
    <row r="74" spans="1:15">
      <c r="A74" s="681"/>
      <c r="B74" s="26"/>
      <c r="C74" s="26"/>
      <c r="D74" s="39"/>
      <c r="E74" s="39"/>
      <c r="F74" s="39"/>
      <c r="G74" s="39"/>
      <c r="H74" s="39"/>
      <c r="I74" s="39"/>
      <c r="J74" s="39"/>
      <c r="K74" s="40"/>
    </row>
    <row r="75" spans="1:15" ht="15.75">
      <c r="A75" s="681"/>
      <c r="B75" s="42" t="s">
        <v>730</v>
      </c>
      <c r="C75" s="26"/>
      <c r="D75" s="39"/>
      <c r="E75" s="39"/>
      <c r="F75" s="39"/>
      <c r="G75" s="39"/>
      <c r="H75" s="39"/>
      <c r="I75" s="39"/>
      <c r="J75" s="241"/>
      <c r="K75" s="40"/>
    </row>
    <row r="76" spans="1:15" ht="15.75" customHeight="1" thickBot="1">
      <c r="A76" s="681"/>
      <c r="B76" s="42"/>
      <c r="C76" s="26"/>
      <c r="D76" s="39"/>
      <c r="E76" s="39"/>
      <c r="F76" s="39"/>
      <c r="G76" s="39"/>
      <c r="H76" s="39"/>
      <c r="I76" s="39"/>
      <c r="J76" s="241"/>
      <c r="K76" s="40"/>
    </row>
    <row r="77" spans="1:15" ht="23.25">
      <c r="A77" s="681"/>
      <c r="B77" s="26" t="s">
        <v>889</v>
      </c>
      <c r="C77" s="154"/>
      <c r="D77" s="262"/>
      <c r="E77" s="154">
        <f ca="1">'QRC4 Form'!I49</f>
        <v>38910</v>
      </c>
      <c r="F77" s="154">
        <f ca="1">'QRC4 Form'!K49</f>
        <v>21964</v>
      </c>
      <c r="G77" s="43"/>
      <c r="H77" s="43"/>
      <c r="I77" s="43"/>
      <c r="J77" s="663"/>
      <c r="K77" s="700"/>
      <c r="L77" s="307">
        <f>IF(AND((SUM(E81:F81)&lt;&gt;0),J77=""),1,0)</f>
        <v>0</v>
      </c>
      <c r="M77" s="307">
        <f>IF(AND((SUM(E81:F81)=0),J77=""),0,1)</f>
        <v>0</v>
      </c>
      <c r="N77" s="307">
        <f>IF(AND((SUM(E81:F81)=0),J77&lt;&gt;""),2,0)</f>
        <v>0</v>
      </c>
      <c r="O77" s="334">
        <f>SUM(L77:N77)</f>
        <v>0</v>
      </c>
    </row>
    <row r="78" spans="1:15" ht="15.75">
      <c r="A78" s="681"/>
      <c r="B78" s="26" t="s">
        <v>888</v>
      </c>
      <c r="C78" s="154"/>
      <c r="D78" s="262"/>
      <c r="E78" s="152">
        <f ca="1">IF(E77+F77=0,0,VLOOKUP('QRC4 Form'!$I$1,Data!$A$12:$AN$339,7,FALSE))</f>
        <v>35442</v>
      </c>
      <c r="F78" s="152">
        <f ca="1">IF(E77+F77=0,0,VLOOKUP('QRC4 Form'!$I$1,Data!$A$12:$AN$339,11,FALSE))</f>
        <v>19982</v>
      </c>
      <c r="G78" s="43"/>
      <c r="H78" s="43"/>
      <c r="I78" s="43"/>
      <c r="J78" s="701"/>
      <c r="K78" s="702"/>
    </row>
    <row r="79" spans="1:15">
      <c r="A79" s="681"/>
      <c r="B79" s="243"/>
      <c r="C79" s="243" t="s">
        <v>714</v>
      </c>
      <c r="D79" s="263" t="str">
        <f>IF(D77+D78=0," ",(D77-D78)/D78)</f>
        <v xml:space="preserve"> </v>
      </c>
      <c r="E79" s="395">
        <f>IF(E77+E78=0," ",IF(E78=0," ",ABS(E77-E78)/E78*100))</f>
        <v>9.7850008464533609</v>
      </c>
      <c r="F79" s="395">
        <f>IF(F77+F78=0," ",IF(F78=0," ",ABS(F77-F78)/F78*100))</f>
        <v>9.9189270343308973</v>
      </c>
      <c r="G79" s="44"/>
      <c r="H79" s="44"/>
      <c r="I79" s="44"/>
      <c r="J79" s="701"/>
      <c r="K79" s="702"/>
    </row>
    <row r="80" spans="1:15" ht="15.75" thickBot="1">
      <c r="A80" s="681"/>
      <c r="B80" s="26"/>
      <c r="C80" s="337"/>
      <c r="D80" s="336"/>
      <c r="E80" s="336"/>
      <c r="F80" s="336"/>
      <c r="G80" s="26"/>
      <c r="H80" s="26"/>
      <c r="I80" s="26"/>
      <c r="J80" s="701"/>
      <c r="K80" s="702"/>
    </row>
    <row r="81" spans="1:15" ht="30" customHeight="1" thickBot="1">
      <c r="A81" s="681"/>
      <c r="B81" s="305" t="str">
        <f>IF(SUM(E81:F81)=0,"Go to Test 7","Please explain the reason for the difference in the yellow box on the right")</f>
        <v>Go to Test 7</v>
      </c>
      <c r="C81" s="337"/>
      <c r="D81" s="336"/>
      <c r="E81" s="322" t="str">
        <f ca="1">IF(AND(E78&gt;20,E79&gt;+Parameters!B10),E79,"")</f>
        <v/>
      </c>
      <c r="F81" s="322" t="str">
        <f ca="1">IF(AND(F78&gt;20,F79&gt;+Parameters!C10),F79,"")</f>
        <v/>
      </c>
      <c r="G81" s="45"/>
      <c r="H81" s="45"/>
      <c r="I81" s="45"/>
      <c r="J81" s="703"/>
      <c r="K81" s="704"/>
    </row>
    <row r="82" spans="1:15" ht="30" customHeight="1">
      <c r="A82" s="681"/>
      <c r="B82" s="26"/>
      <c r="C82" s="266"/>
      <c r="D82" s="266"/>
      <c r="E82" s="336"/>
      <c r="F82" s="336"/>
      <c r="G82" s="12"/>
      <c r="H82" s="12"/>
      <c r="I82" s="39"/>
      <c r="J82" s="673" t="s">
        <v>799</v>
      </c>
      <c r="K82" s="695"/>
    </row>
    <row r="83" spans="1:15" ht="16.5" thickBot="1">
      <c r="A83" s="681"/>
      <c r="B83" s="381"/>
      <c r="C83" s="382"/>
      <c r="D83" s="382"/>
      <c r="E83" s="374"/>
      <c r="F83" s="374"/>
      <c r="G83" s="374"/>
      <c r="H83" s="374"/>
      <c r="I83" s="374"/>
      <c r="J83" s="383"/>
      <c r="K83" s="380"/>
    </row>
    <row r="84" spans="1:15" ht="15.75" thickTop="1">
      <c r="A84" s="696"/>
      <c r="B84" s="26"/>
      <c r="C84" s="337"/>
      <c r="D84" s="336"/>
      <c r="E84" s="336"/>
      <c r="F84" s="336"/>
      <c r="G84" s="336"/>
      <c r="H84" s="336"/>
      <c r="I84" s="336"/>
      <c r="J84" s="336"/>
      <c r="K84" s="339"/>
    </row>
    <row r="85" spans="1:15">
      <c r="A85" s="697"/>
      <c r="B85" s="26"/>
      <c r="C85" s="26"/>
      <c r="D85" s="39"/>
      <c r="E85" s="39"/>
      <c r="F85" s="39"/>
      <c r="G85" s="39"/>
      <c r="H85" s="39"/>
      <c r="I85" s="39"/>
      <c r="J85" s="39"/>
      <c r="K85" s="40"/>
    </row>
    <row r="86" spans="1:15" ht="15.75">
      <c r="A86" s="697"/>
      <c r="B86" s="42" t="s">
        <v>890</v>
      </c>
      <c r="C86" s="26"/>
      <c r="D86" s="39"/>
      <c r="E86" s="39"/>
      <c r="F86" s="39"/>
      <c r="G86" s="39"/>
      <c r="H86" s="39"/>
      <c r="I86" s="39"/>
      <c r="J86" s="39"/>
      <c r="K86" s="40"/>
    </row>
    <row r="87" spans="1:15" ht="16.5" thickBot="1">
      <c r="A87" s="697"/>
      <c r="B87" s="42"/>
      <c r="C87" s="26"/>
      <c r="D87" s="39"/>
      <c r="E87" s="39"/>
      <c r="F87" s="39"/>
      <c r="G87" s="39"/>
      <c r="H87" s="39"/>
      <c r="I87" s="39"/>
      <c r="J87" s="39"/>
      <c r="K87" s="40"/>
    </row>
    <row r="88" spans="1:15" ht="23.25">
      <c r="A88" s="697"/>
      <c r="B88" s="26" t="s">
        <v>891</v>
      </c>
      <c r="C88" s="337"/>
      <c r="D88" s="336"/>
      <c r="E88" s="152">
        <f ca="1">'QRC4 Form'!I65</f>
        <v>3468</v>
      </c>
      <c r="F88" s="154">
        <f ca="1">'QRC4 Form'!K65</f>
        <v>1982</v>
      </c>
      <c r="G88" s="39"/>
      <c r="H88" s="39"/>
      <c r="I88" s="39"/>
      <c r="J88" s="663" t="s">
        <v>938</v>
      </c>
      <c r="K88" s="700"/>
      <c r="L88" s="307">
        <f>IF(AND((SUM(E92:F92)&lt;&gt;0),J88=""),1,0)</f>
        <v>0</v>
      </c>
      <c r="M88" s="307">
        <f>IF(AND((SUM(E92:F92)=0),J88=""),0,1)</f>
        <v>1</v>
      </c>
      <c r="N88" s="307">
        <f>IF(AND((SUM(E92:F92)=0),J88&lt;&gt;""),2,0)</f>
        <v>0</v>
      </c>
      <c r="O88" s="334">
        <f>SUM(L88:N88)</f>
        <v>1</v>
      </c>
    </row>
    <row r="89" spans="1:15" ht="15.75">
      <c r="A89" s="697"/>
      <c r="B89" s="26" t="s">
        <v>892</v>
      </c>
      <c r="C89" s="337"/>
      <c r="D89" s="336"/>
      <c r="E89" s="154">
        <f ca="1">IF(E88+F88=0,0,VLOOKUP('QRC4 Form'!$I$1,Data!$A$12:$AN$338,24,FALSE))</f>
        <v>2810</v>
      </c>
      <c r="F89" s="154">
        <f ca="1">IF(E88+F88=0,0,VLOOKUP('QRC4 Form'!$I$1,Data!$A$12:$AN$338,34,FALSE))</f>
        <v>1365</v>
      </c>
      <c r="G89" s="43"/>
      <c r="H89" s="43"/>
      <c r="I89" s="43"/>
      <c r="J89" s="701"/>
      <c r="K89" s="702"/>
    </row>
    <row r="90" spans="1:15">
      <c r="A90" s="697"/>
      <c r="B90" s="26"/>
      <c r="C90" s="243" t="s">
        <v>714</v>
      </c>
      <c r="D90" s="263"/>
      <c r="E90" s="395">
        <f>IF(E88+E89=0," ",IF(E89=0," ",ABS(E88-E89)/E89*100))</f>
        <v>23.416370106761565</v>
      </c>
      <c r="F90" s="395">
        <f>IF(F88+F89=0," ",IF(F89=0," ",ABS(F88-F89)/F89*100))</f>
        <v>45.201465201465204</v>
      </c>
      <c r="G90" s="39"/>
      <c r="H90" s="39"/>
      <c r="I90" s="39"/>
      <c r="J90" s="701"/>
      <c r="K90" s="702"/>
    </row>
    <row r="91" spans="1:15" ht="15.75" thickBot="1">
      <c r="A91" s="697"/>
      <c r="B91" s="26"/>
      <c r="C91" s="243"/>
      <c r="D91" s="243"/>
      <c r="E91" s="39"/>
      <c r="F91" s="39"/>
      <c r="G91" s="39"/>
      <c r="H91" s="39"/>
      <c r="I91" s="39"/>
      <c r="J91" s="701"/>
      <c r="K91" s="702"/>
    </row>
    <row r="92" spans="1:15" ht="30" customHeight="1" thickBot="1">
      <c r="A92" s="697"/>
      <c r="B92" s="305" t="str">
        <f>IF(SUM(E92:F92)=0,"Go to Test 8","Please explain the reason for the difference in the yellow box on the right")</f>
        <v>Please explain the reason for the difference in the yellow box on the right</v>
      </c>
      <c r="C92" s="337"/>
      <c r="D92" s="336"/>
      <c r="E92" s="322">
        <f ca="1">IF(AND(E89&gt;20,E90&gt;+Parameters!B11),E90,"")</f>
        <v>23.416370106761565</v>
      </c>
      <c r="F92" s="322">
        <f ca="1">IF(AND(F89&gt;20,F90&gt;+Parameters!C11),F90,"")</f>
        <v>45.201465201465204</v>
      </c>
      <c r="G92" s="39"/>
      <c r="H92" s="39"/>
      <c r="I92" s="39"/>
      <c r="J92" s="703"/>
      <c r="K92" s="704"/>
    </row>
    <row r="93" spans="1:15" ht="29.25" customHeight="1">
      <c r="A93" s="697"/>
      <c r="B93" s="26"/>
      <c r="C93" s="337"/>
      <c r="D93" s="336"/>
      <c r="E93" s="39"/>
      <c r="F93" s="39"/>
      <c r="G93" s="39"/>
      <c r="H93" s="39"/>
      <c r="I93" s="39"/>
      <c r="J93" s="673" t="s">
        <v>799</v>
      </c>
      <c r="K93" s="695"/>
    </row>
    <row r="94" spans="1:15" ht="29.25" customHeight="1" thickBot="1">
      <c r="A94" s="706"/>
      <c r="B94" s="47"/>
      <c r="C94" s="401"/>
      <c r="D94" s="402"/>
      <c r="E94" s="48"/>
      <c r="F94" s="48"/>
      <c r="G94" s="48"/>
      <c r="H94" s="48"/>
      <c r="I94" s="48"/>
      <c r="J94" s="64"/>
      <c r="K94" s="403"/>
    </row>
    <row r="95" spans="1:15" ht="15.95" customHeight="1" thickBot="1">
      <c r="A95" s="247"/>
      <c r="B95" s="248" t="str">
        <f>+C2</f>
        <v>LA : Hastings</v>
      </c>
      <c r="C95" s="249"/>
      <c r="D95" s="249"/>
      <c r="E95" s="250"/>
      <c r="F95" s="250"/>
      <c r="G95" s="250"/>
      <c r="H95" s="250"/>
      <c r="I95" s="250"/>
      <c r="J95" s="251"/>
      <c r="K95" s="252">
        <f>+K8</f>
        <v>0</v>
      </c>
    </row>
    <row r="96" spans="1:15" ht="39" customHeight="1" thickBot="1">
      <c r="A96" s="41"/>
      <c r="B96" s="47"/>
      <c r="C96" s="47"/>
      <c r="D96" s="48"/>
      <c r="E96" s="312" t="s">
        <v>798</v>
      </c>
      <c r="F96" s="313" t="s">
        <v>778</v>
      </c>
      <c r="G96" s="335" t="s">
        <v>800</v>
      </c>
      <c r="H96" s="313"/>
      <c r="I96" s="313"/>
      <c r="J96" s="48"/>
      <c r="K96" s="49"/>
    </row>
    <row r="97" spans="1:15" ht="15.95" customHeight="1">
      <c r="A97" s="680"/>
      <c r="B97" s="26"/>
      <c r="C97" s="26"/>
      <c r="D97" s="39"/>
      <c r="E97" s="39"/>
      <c r="F97" s="39"/>
      <c r="G97" s="39"/>
      <c r="H97" s="39"/>
      <c r="I97" s="39"/>
      <c r="J97" s="39"/>
      <c r="K97" s="40"/>
    </row>
    <row r="98" spans="1:15" ht="15.95" customHeight="1">
      <c r="A98" s="680"/>
      <c r="B98" s="26"/>
      <c r="C98" s="26"/>
      <c r="D98" s="39"/>
      <c r="E98" s="39"/>
      <c r="F98" s="39"/>
      <c r="G98" s="39"/>
      <c r="H98" s="39"/>
      <c r="I98" s="39"/>
      <c r="J98" s="39"/>
      <c r="K98" s="40"/>
    </row>
    <row r="99" spans="1:15" ht="15.95" customHeight="1">
      <c r="A99" s="681"/>
      <c r="B99" s="42" t="s">
        <v>893</v>
      </c>
      <c r="C99" s="26"/>
      <c r="D99" s="39"/>
      <c r="E99" s="39"/>
      <c r="F99" s="39"/>
      <c r="G99" s="39"/>
      <c r="H99" s="39"/>
      <c r="I99" s="39"/>
      <c r="J99" s="39"/>
      <c r="K99" s="40"/>
    </row>
    <row r="100" spans="1:15" ht="15.95" customHeight="1" thickBot="1">
      <c r="A100" s="681"/>
      <c r="B100" s="42"/>
      <c r="C100" s="26"/>
      <c r="D100" s="39"/>
      <c r="E100" s="39"/>
      <c r="F100" s="39"/>
      <c r="G100" s="39"/>
      <c r="H100" s="39"/>
      <c r="I100" s="39"/>
      <c r="J100" s="39"/>
      <c r="K100" s="40"/>
    </row>
    <row r="101" spans="1:15" ht="15.95" customHeight="1">
      <c r="A101" s="681"/>
      <c r="B101" s="33" t="s">
        <v>894</v>
      </c>
      <c r="E101" s="154">
        <f ca="1">'QRC4 Form'!I49+'QRC4 Form'!I35</f>
        <v>39389</v>
      </c>
      <c r="F101" s="154">
        <f ca="1">'QRC4 Form'!K49+'QRC4 Form'!K35</f>
        <v>21985</v>
      </c>
      <c r="G101" s="154">
        <f ca="1">'QRC4 Form'!K95</f>
        <v>0</v>
      </c>
      <c r="H101" s="39"/>
      <c r="I101" s="39"/>
      <c r="J101" s="663"/>
      <c r="K101" s="700"/>
      <c r="L101" s="307">
        <f>IF(AND((SUM(E105:G105)&lt;&gt;0),J101=""),1,0)</f>
        <v>0</v>
      </c>
      <c r="M101" s="307">
        <f>IF(AND((SUM(E105:G105)=0),J101=""),0,1)</f>
        <v>0</v>
      </c>
      <c r="N101" s="307">
        <f>IF(AND((SUM(E105:G105)=0),J101&lt;&gt;""),2,0)</f>
        <v>0</v>
      </c>
      <c r="O101" s="334">
        <f>SUM(L101:N101)</f>
        <v>0</v>
      </c>
    </row>
    <row r="102" spans="1:15" ht="15.75">
      <c r="A102" s="681"/>
      <c r="B102" s="37" t="s">
        <v>895</v>
      </c>
      <c r="E102" s="154">
        <f ca="1">IF(E101+F101+G101=0,0,VLOOKUP('QRC4 Form'!$I$1,Data!$A$12:$AN$338,23,FALSE)+VLOOKUP('QRC4 Form'!$I$1,Data!$A$12:$AN$338,17,FALSE))</f>
        <v>37870</v>
      </c>
      <c r="F102" s="154">
        <f ca="1">IF(E101+F101+G101=0,0,VLOOKUP('QRC4 Form'!$I$1,Data!$A$12:$AN$338,27,FALSE)+VLOOKUP('QRC4 Form'!$I$1,Data!$A$12:$AN$338,33,FALSE))</f>
        <v>20238</v>
      </c>
      <c r="G102" s="154">
        <f ca="1">IF(E101+F101+G101=0,0,VLOOKUP('QRC4 Form'!$I$1,Data!$A$12:$AN$338,25,FALSE))</f>
        <v>0</v>
      </c>
      <c r="H102" s="43"/>
      <c r="I102" s="43"/>
      <c r="J102" s="701"/>
      <c r="K102" s="702"/>
    </row>
    <row r="103" spans="1:15">
      <c r="A103" s="681"/>
      <c r="C103" s="243" t="s">
        <v>714</v>
      </c>
      <c r="D103" s="263"/>
      <c r="E103" s="329">
        <f>IF(E101+E102=0," ",IF(E102=0," ",ABS(E101-E102)/E102*100))</f>
        <v>4.0110905730129387</v>
      </c>
      <c r="F103" s="329">
        <f>IF(F101+F102=0," ",IF(F102=0," ",ABS(F101-F102)/F102*100))</f>
        <v>8.6322759165925476</v>
      </c>
      <c r="G103" s="329" t="str">
        <f>IF(G101+G102=0," ",IF(G102=0," ",(G101-G102)/G102*100))</f>
        <v xml:space="preserve"> </v>
      </c>
      <c r="H103" s="152"/>
      <c r="I103" s="152"/>
      <c r="J103" s="701"/>
      <c r="K103" s="702"/>
    </row>
    <row r="104" spans="1:15" ht="15.95" customHeight="1" thickBot="1">
      <c r="A104" s="681"/>
      <c r="F104" s="152"/>
      <c r="G104" s="152"/>
      <c r="H104" s="152"/>
      <c r="I104" s="152"/>
      <c r="J104" s="701"/>
      <c r="K104" s="702"/>
    </row>
    <row r="105" spans="1:15" ht="30" customHeight="1" thickBot="1">
      <c r="A105" s="681"/>
      <c r="B105" s="305" t="str">
        <f>IF(SUM(E105:F105)=0,"Go to Test 9","Please explain the reason for the difference in the yellow box on the right")</f>
        <v>Go to Test 9</v>
      </c>
      <c r="E105" s="322" t="str">
        <f ca="1">IF(AND(E102&gt;30,E103&gt;+Parameters!B12),E103,"")</f>
        <v/>
      </c>
      <c r="F105" s="322" t="str">
        <f ca="1">IF(AND(F102&gt;30,F103&gt;+Parameters!C12),F103,"")</f>
        <v/>
      </c>
      <c r="G105" s="322" t="str">
        <f ca="1">IF(AND(G102&gt;30,G103&gt;+Parameters!D12),G103,"")</f>
        <v/>
      </c>
      <c r="H105" s="45"/>
      <c r="I105" s="45"/>
      <c r="J105" s="703"/>
      <c r="K105" s="704"/>
    </row>
    <row r="106" spans="1:15" ht="30" customHeight="1">
      <c r="A106" s="681"/>
      <c r="B106"/>
      <c r="C106"/>
      <c r="D106"/>
      <c r="E106"/>
      <c r="F106"/>
      <c r="G106"/>
      <c r="H106" s="315"/>
      <c r="I106" s="315"/>
      <c r="J106" s="673" t="s">
        <v>799</v>
      </c>
      <c r="K106" s="695"/>
    </row>
    <row r="107" spans="1:15" ht="15.95" customHeight="1" thickBot="1">
      <c r="A107" s="682"/>
      <c r="B107" s="379"/>
      <c r="C107" s="377"/>
      <c r="D107" s="374"/>
      <c r="E107" s="374"/>
      <c r="F107" s="374"/>
      <c r="G107" s="374"/>
      <c r="H107" s="374"/>
      <c r="I107" s="374"/>
      <c r="J107" s="374"/>
      <c r="K107" s="380"/>
    </row>
    <row r="108" spans="1:15" ht="15.95" customHeight="1" thickTop="1">
      <c r="A108" s="696"/>
      <c r="B108" s="26"/>
      <c r="C108" s="26"/>
      <c r="D108" s="39"/>
      <c r="E108" s="39"/>
      <c r="F108" s="39"/>
      <c r="G108" s="39"/>
      <c r="H108" s="39"/>
      <c r="I108" s="39"/>
      <c r="J108" s="39"/>
      <c r="K108" s="40"/>
    </row>
    <row r="109" spans="1:15" ht="15.95" customHeight="1">
      <c r="A109" s="697"/>
      <c r="B109" s="26"/>
      <c r="C109" s="26"/>
      <c r="D109" s="39"/>
      <c r="E109" s="39"/>
      <c r="F109" s="39"/>
      <c r="G109" s="39"/>
      <c r="H109" s="39"/>
      <c r="I109" s="39"/>
      <c r="J109" s="39"/>
      <c r="K109" s="40"/>
    </row>
    <row r="110" spans="1:15" ht="15.95" customHeight="1">
      <c r="A110" s="697"/>
      <c r="B110" s="42" t="s">
        <v>896</v>
      </c>
      <c r="C110" s="26"/>
      <c r="D110" s="39"/>
      <c r="E110" s="39"/>
      <c r="F110" s="39"/>
      <c r="G110" s="39"/>
      <c r="H110" s="39"/>
      <c r="I110" s="39"/>
      <c r="J110" s="39"/>
      <c r="K110" s="40"/>
    </row>
    <row r="111" spans="1:15" ht="15.95" customHeight="1" thickBot="1">
      <c r="A111" s="697"/>
      <c r="B111" s="42"/>
      <c r="C111" s="26"/>
      <c r="D111" s="39"/>
      <c r="E111" s="39"/>
      <c r="F111" s="39"/>
      <c r="G111" s="39"/>
      <c r="H111" s="39"/>
      <c r="I111" s="39"/>
      <c r="J111" s="39"/>
      <c r="K111" s="40"/>
    </row>
    <row r="112" spans="1:15" ht="15.95" customHeight="1">
      <c r="A112" s="697"/>
      <c r="B112" s="26" t="s">
        <v>897</v>
      </c>
      <c r="E112" s="154">
        <f ca="1">'QRC4 Form'!I35</f>
        <v>479</v>
      </c>
      <c r="F112" s="154">
        <f ca="1">'QRC4 Form'!K35</f>
        <v>21</v>
      </c>
      <c r="G112" s="43"/>
      <c r="H112" s="43"/>
      <c r="I112" s="43"/>
      <c r="J112" s="663"/>
      <c r="K112" s="700"/>
      <c r="L112" s="307">
        <f>IF(AND((SUM(E116:F116)&lt;&gt;0),J112=""),1,0)</f>
        <v>0</v>
      </c>
      <c r="M112" s="307">
        <f>IF(AND((SUM(E116:F116)=0),J112=""),0,1)</f>
        <v>0</v>
      </c>
      <c r="N112" s="307">
        <f>IF(AND((SUM(E116:F116)=0),J112&lt;&gt;""),2,0)</f>
        <v>0</v>
      </c>
      <c r="O112" s="334">
        <f>SUM(L112:N112)</f>
        <v>0</v>
      </c>
    </row>
    <row r="113" spans="1:15" ht="15.95" customHeight="1">
      <c r="A113" s="697"/>
      <c r="B113" s="26" t="s">
        <v>926</v>
      </c>
      <c r="E113" s="154">
        <f ca="1">IF(E112+F112=0,0,VLOOKUP('QRC4 Form'!$I$1,Data!$A$12:$AN$338,22,FALSE))</f>
        <v>479</v>
      </c>
      <c r="F113" s="154">
        <f ca="1">IF(E112+F112=0,0,VLOOKUP('QRC4 Form'!$I$1,Data!$A$12:$AN$338,32,FALSE))</f>
        <v>21</v>
      </c>
      <c r="G113" s="39"/>
      <c r="H113" s="39"/>
      <c r="I113" s="39"/>
      <c r="J113" s="701"/>
      <c r="K113" s="702"/>
    </row>
    <row r="114" spans="1:15" ht="15.95" customHeight="1">
      <c r="A114" s="697"/>
      <c r="C114" s="243" t="s">
        <v>929</v>
      </c>
      <c r="D114" s="265"/>
      <c r="E114" s="406">
        <f>IF(E112+E113=0," ",IF(E113=0," ",ABS(E112-E113)))</f>
        <v>0</v>
      </c>
      <c r="F114" s="406">
        <f>IF(F112+F113=0," ",IF(F113=0," ",ABS(F112-F113)))</f>
        <v>0</v>
      </c>
      <c r="G114" s="39"/>
      <c r="H114" s="39"/>
      <c r="I114" s="39"/>
      <c r="J114" s="701"/>
      <c r="K114" s="702"/>
    </row>
    <row r="115" spans="1:15" ht="15.95" customHeight="1" thickBot="1">
      <c r="A115" s="697"/>
      <c r="E115" s="39"/>
      <c r="F115" s="39"/>
      <c r="G115" s="39"/>
      <c r="H115" s="39"/>
      <c r="I115" s="39"/>
      <c r="J115" s="701"/>
      <c r="K115" s="702"/>
    </row>
    <row r="116" spans="1:15" ht="30" customHeight="1" thickBot="1">
      <c r="A116" s="697"/>
      <c r="B116" s="305" t="str">
        <f>IF(SUM(E116:F116)=0,"Go to Test 10","Please explain the reason for the difference in the yellow box on the right")</f>
        <v>Go to Test 10</v>
      </c>
      <c r="E116" s="407" t="str">
        <f ca="1">IF(AND(E112&gt;E113,E114&gt;+Parameters!B13),E114,"")</f>
        <v/>
      </c>
      <c r="F116" s="407" t="str">
        <f ca="1">IF(AND(F112&gt;F113,F114&gt;+Parameters!C13),F114,"")</f>
        <v/>
      </c>
      <c r="G116" s="39"/>
      <c r="H116" s="39"/>
      <c r="I116" s="39"/>
      <c r="J116" s="703"/>
      <c r="K116" s="704"/>
    </row>
    <row r="117" spans="1:15" ht="30" customHeight="1">
      <c r="A117" s="697"/>
      <c r="E117" s="39"/>
      <c r="F117" s="39"/>
      <c r="G117" s="39"/>
      <c r="H117" s="39"/>
      <c r="I117" s="39"/>
      <c r="J117" s="673" t="s">
        <v>799</v>
      </c>
      <c r="K117" s="695"/>
    </row>
    <row r="118" spans="1:15" ht="15.95" customHeight="1" thickBot="1">
      <c r="A118" s="713"/>
      <c r="B118" s="379"/>
      <c r="C118" s="377"/>
      <c r="D118" s="374"/>
      <c r="E118" s="374"/>
      <c r="F118" s="374"/>
      <c r="G118" s="374"/>
      <c r="H118" s="374"/>
      <c r="I118" s="374"/>
      <c r="J118" s="374"/>
      <c r="K118" s="380"/>
    </row>
    <row r="119" spans="1:15" ht="15.95" customHeight="1" thickTop="1">
      <c r="A119" s="705"/>
      <c r="B119" s="26"/>
      <c r="C119" s="26"/>
      <c r="D119" s="39"/>
      <c r="E119" s="39"/>
      <c r="F119" s="39"/>
      <c r="G119" s="39"/>
      <c r="H119" s="39"/>
      <c r="I119" s="39"/>
      <c r="J119" s="39"/>
      <c r="K119" s="40"/>
    </row>
    <row r="120" spans="1:15" ht="15.95" customHeight="1">
      <c r="A120" s="681"/>
      <c r="B120" s="26"/>
      <c r="C120" s="26"/>
      <c r="D120" s="39"/>
      <c r="E120" s="39"/>
      <c r="F120" s="39"/>
      <c r="G120" s="39"/>
      <c r="H120" s="39"/>
      <c r="I120" s="39"/>
      <c r="J120" s="39"/>
      <c r="K120" s="40"/>
    </row>
    <row r="121" spans="1:15" ht="15.95" customHeight="1">
      <c r="A121" s="681"/>
      <c r="B121" s="42" t="s">
        <v>898</v>
      </c>
      <c r="C121" s="26"/>
      <c r="D121" s="39"/>
      <c r="E121" s="39"/>
      <c r="F121" s="39"/>
      <c r="G121" s="39"/>
      <c r="H121" s="39"/>
      <c r="I121" s="39"/>
      <c r="J121" s="39"/>
      <c r="K121" s="40"/>
    </row>
    <row r="122" spans="1:15" ht="15.95" customHeight="1" thickBot="1">
      <c r="A122" s="681"/>
      <c r="B122" s="42"/>
      <c r="C122" s="26"/>
      <c r="D122" s="39"/>
      <c r="E122" s="39"/>
      <c r="F122" s="39"/>
      <c r="G122" s="39"/>
      <c r="H122" s="39"/>
      <c r="I122" s="39"/>
      <c r="J122" s="39"/>
      <c r="K122" s="40"/>
    </row>
    <row r="123" spans="1:15" ht="15.95" customHeight="1">
      <c r="A123" s="681"/>
      <c r="B123" s="26" t="s">
        <v>899</v>
      </c>
      <c r="E123" s="338">
        <f ca="1">IF('QRC4 Form'!I39=0,0,'QRC4 Form'!I42)</f>
        <v>96.33</v>
      </c>
      <c r="F123" s="338">
        <f ca="1">IF('QRC4 Form'!K39=0,0,'QRC4 Form'!K42)</f>
        <v>97.83</v>
      </c>
      <c r="G123" s="43"/>
      <c r="H123" s="43"/>
      <c r="I123" s="43"/>
      <c r="J123" s="663"/>
      <c r="K123" s="700"/>
      <c r="L123" s="307">
        <f>IF(AND((SUM(E127:F127)&lt;&gt;0),J123=""),1,0)</f>
        <v>0</v>
      </c>
      <c r="M123" s="307">
        <f>IF(AND((SUM(E127:F127)=0),J123=""),0,1)</f>
        <v>0</v>
      </c>
      <c r="N123" s="307">
        <f>IF(AND((SUM(E127:F127)=0),J123&lt;&gt;""),2,0)</f>
        <v>0</v>
      </c>
      <c r="O123" s="334">
        <f>SUM(L123:N123)</f>
        <v>0</v>
      </c>
    </row>
    <row r="124" spans="1:15" ht="15.95" customHeight="1">
      <c r="A124" s="681"/>
      <c r="B124" s="26" t="s">
        <v>900</v>
      </c>
      <c r="E124" s="392">
        <f ca="1">IF(E123+F123=0,0,VLOOKUP('QRC4 Form'!$I$1,Data!$A$12:$AN$338,20,FALSE))</f>
        <v>96.61</v>
      </c>
      <c r="F124" s="392">
        <f ca="1">IF(E123+F123=0,0,VLOOKUP('QRC4 Form'!$I$1,Data!$A$12:$AN$338,30,FALSE))</f>
        <v>97.35</v>
      </c>
      <c r="G124" s="43"/>
      <c r="H124" s="43"/>
      <c r="I124" s="43"/>
      <c r="J124" s="701"/>
      <c r="K124" s="702"/>
    </row>
    <row r="125" spans="1:15" ht="15.95" customHeight="1">
      <c r="A125" s="681"/>
      <c r="C125" s="243" t="s">
        <v>929</v>
      </c>
      <c r="E125" s="395">
        <f>IF(E123+E124=0," ",IF(E124=0," ",ABS(E123-E124)))</f>
        <v>0.28000000000000114</v>
      </c>
      <c r="F125" s="395">
        <f>IF(F123+F124=0," ",IF(F124=0," ",ABS(F123-F124)))</f>
        <v>0.48000000000000398</v>
      </c>
      <c r="G125" s="39"/>
      <c r="H125" s="39"/>
      <c r="I125" s="39"/>
      <c r="J125" s="701"/>
      <c r="K125" s="702"/>
    </row>
    <row r="126" spans="1:15" ht="15.95" customHeight="1" thickBot="1">
      <c r="A126" s="681"/>
      <c r="E126" s="39"/>
      <c r="F126" s="39"/>
      <c r="G126" s="39"/>
      <c r="H126" s="39"/>
      <c r="I126" s="39"/>
      <c r="J126" s="701"/>
      <c r="K126" s="702"/>
    </row>
    <row r="127" spans="1:15" ht="30" customHeight="1" thickBot="1">
      <c r="A127" s="681"/>
      <c r="B127" s="305" t="str">
        <f>IF(SUM(E127:F127)=0,"Go to Test 11","Please explain the reason for the difference in the yellow box on the right")</f>
        <v>Go to Test 11</v>
      </c>
      <c r="C127" s="265"/>
      <c r="D127" s="265"/>
      <c r="E127" s="396" t="str">
        <f ca="1">IF(AND(E124&gt;1.5,E125&gt;+Parameters!B14),E125,"")</f>
        <v/>
      </c>
      <c r="F127" s="396" t="str">
        <f ca="1">IF(AND(F124&gt;1.5,F125&gt;+Parameters!C14),F125,"")</f>
        <v/>
      </c>
      <c r="G127" s="39"/>
      <c r="H127" s="39"/>
      <c r="I127" s="39"/>
      <c r="J127" s="703"/>
      <c r="K127" s="704"/>
    </row>
    <row r="128" spans="1:15" ht="30" customHeight="1">
      <c r="A128" s="681"/>
      <c r="B128" s="236"/>
      <c r="E128" s="39"/>
      <c r="F128" s="39"/>
      <c r="G128" s="39"/>
      <c r="H128" s="39"/>
      <c r="I128" s="39"/>
      <c r="J128" s="673" t="s">
        <v>799</v>
      </c>
      <c r="K128" s="695"/>
    </row>
    <row r="129" spans="1:15" ht="15.95" customHeight="1" thickBot="1">
      <c r="A129" s="681"/>
      <c r="B129" s="379"/>
      <c r="C129" s="384"/>
      <c r="D129" s="385"/>
      <c r="E129" s="374"/>
      <c r="F129" s="374"/>
      <c r="G129" s="374"/>
      <c r="H129" s="374"/>
      <c r="I129" s="374"/>
      <c r="J129" s="374"/>
      <c r="K129" s="380"/>
    </row>
    <row r="130" spans="1:15" ht="15.95" customHeight="1" thickTop="1">
      <c r="A130" s="696"/>
      <c r="B130" s="26"/>
      <c r="C130" s="37"/>
      <c r="D130" s="33"/>
      <c r="E130" s="39"/>
      <c r="F130" s="39"/>
      <c r="G130" s="39"/>
      <c r="H130" s="39"/>
      <c r="I130" s="39"/>
      <c r="J130" s="39"/>
      <c r="K130" s="40"/>
    </row>
    <row r="131" spans="1:15" ht="15.95" customHeight="1">
      <c r="A131" s="697"/>
      <c r="B131" s="26"/>
      <c r="C131" s="37"/>
      <c r="D131" s="33"/>
      <c r="E131" s="39"/>
      <c r="F131" s="39"/>
      <c r="G131" s="39"/>
      <c r="H131" s="39"/>
      <c r="I131" s="39"/>
      <c r="J131" s="39"/>
      <c r="K131" s="40"/>
    </row>
    <row r="132" spans="1:15" ht="15.95" customHeight="1">
      <c r="A132" s="697"/>
      <c r="B132" s="42" t="s">
        <v>728</v>
      </c>
      <c r="C132" s="26"/>
      <c r="D132" s="33"/>
      <c r="E132" s="39"/>
      <c r="F132" s="39"/>
      <c r="G132" s="39"/>
      <c r="H132" s="39"/>
      <c r="I132" s="39"/>
      <c r="J132" s="39"/>
      <c r="K132" s="40"/>
    </row>
    <row r="133" spans="1:15" ht="15.95" customHeight="1" thickBot="1">
      <c r="A133" s="697"/>
      <c r="B133" s="42"/>
      <c r="C133" s="26"/>
      <c r="D133" s="33"/>
      <c r="E133" s="39"/>
      <c r="F133" s="39"/>
      <c r="G133" s="39"/>
      <c r="H133" s="39"/>
      <c r="I133" s="39"/>
      <c r="J133" s="39"/>
      <c r="K133" s="40"/>
    </row>
    <row r="134" spans="1:15" ht="15.95" customHeight="1">
      <c r="A134" s="697"/>
      <c r="B134" s="26" t="s">
        <v>901</v>
      </c>
      <c r="C134" s="337"/>
      <c r="D134" s="33"/>
      <c r="E134" s="154">
        <f ca="1">'QRC4 Form'!I45</f>
        <v>737</v>
      </c>
      <c r="F134" s="39"/>
      <c r="G134" s="39"/>
      <c r="H134" s="39"/>
      <c r="I134" s="39"/>
      <c r="J134" s="663"/>
      <c r="K134" s="700"/>
      <c r="L134" s="307">
        <f>IF(AND(E138&lt;&gt;"",J134=""),1,0)</f>
        <v>0</v>
      </c>
      <c r="M134" s="307">
        <f>IF(AND(E138="",J134=""),0,1)</f>
        <v>0</v>
      </c>
      <c r="N134" s="307">
        <f>IF(AND(E138=0,J134&lt;&gt;""),2,0)</f>
        <v>0</v>
      </c>
      <c r="O134" s="334">
        <f>SUM(L134:N134)</f>
        <v>0</v>
      </c>
    </row>
    <row r="135" spans="1:15" ht="15.95" customHeight="1">
      <c r="A135" s="697"/>
      <c r="B135" s="26" t="s">
        <v>839</v>
      </c>
      <c r="C135" s="337"/>
      <c r="D135" s="33"/>
      <c r="E135" s="154">
        <f ca="1">IF(E134=0,0,VLOOKUP('QRC4 Form'!$I$1,Data!$A$12:$AN$338,21,FALSE))</f>
        <v>633</v>
      </c>
      <c r="F135" s="39"/>
      <c r="G135" s="39"/>
      <c r="H135" s="39"/>
      <c r="I135" s="39"/>
      <c r="J135" s="707"/>
      <c r="K135" s="702"/>
    </row>
    <row r="136" spans="1:15" ht="15.95" customHeight="1">
      <c r="A136" s="697"/>
      <c r="B136" s="319"/>
      <c r="C136" s="563" t="s">
        <v>714</v>
      </c>
      <c r="D136" s="564"/>
      <c r="E136" s="565">
        <f>IF(E134+E135=0," ",IF(E135=0," ",(E134-E135)/E135*100))</f>
        <v>16.429699842022117</v>
      </c>
      <c r="F136" s="39"/>
      <c r="G136" s="39"/>
      <c r="H136" s="39"/>
      <c r="I136" s="39"/>
      <c r="J136" s="707"/>
      <c r="K136" s="702"/>
    </row>
    <row r="137" spans="1:15" ht="15.95" customHeight="1" thickBot="1">
      <c r="A137" s="697"/>
      <c r="B137" s="26"/>
      <c r="C137" s="337"/>
      <c r="D137" s="33"/>
      <c r="E137" s="39"/>
      <c r="F137" s="39"/>
      <c r="G137" s="39"/>
      <c r="H137" s="39"/>
      <c r="I137" s="39"/>
      <c r="J137" s="707"/>
      <c r="K137" s="702"/>
    </row>
    <row r="138" spans="1:15" ht="30" customHeight="1" thickBot="1">
      <c r="A138" s="697"/>
      <c r="B138" s="305" t="str">
        <f>IF(E138="","Go to Test 12","Please explain the reason for the difference in the yellow box on the right")</f>
        <v>Go to Test 12</v>
      </c>
      <c r="C138" s="263"/>
      <c r="D138" s="33"/>
      <c r="E138" s="322" t="str">
        <f ca="1">IF(AND(E135&gt;-1,E136&lt;+Parameters!B15),E136,"")</f>
        <v/>
      </c>
      <c r="F138" s="39"/>
      <c r="G138" s="39"/>
      <c r="H138" s="39"/>
      <c r="I138" s="39"/>
      <c r="J138" s="708"/>
      <c r="K138" s="704"/>
    </row>
    <row r="139" spans="1:15" ht="30" customHeight="1">
      <c r="A139" s="697"/>
      <c r="B139" s="236"/>
      <c r="C139" s="337"/>
      <c r="D139" s="33"/>
      <c r="E139" s="39"/>
      <c r="F139" s="39"/>
      <c r="G139" s="39"/>
      <c r="H139" s="39"/>
      <c r="I139" s="39"/>
      <c r="J139" s="673" t="s">
        <v>799</v>
      </c>
      <c r="K139" s="695"/>
    </row>
    <row r="140" spans="1:15" ht="15.95" customHeight="1">
      <c r="A140" s="713"/>
      <c r="B140" s="340"/>
      <c r="C140" s="341"/>
      <c r="D140" s="342"/>
      <c r="E140" s="343"/>
      <c r="F140" s="343"/>
      <c r="G140" s="343"/>
      <c r="H140" s="343"/>
      <c r="I140" s="343"/>
      <c r="J140" s="344"/>
      <c r="K140" s="345"/>
    </row>
    <row r="141" spans="1:15" ht="15.95" customHeight="1" thickBot="1">
      <c r="A141"/>
      <c r="B141" s="26"/>
      <c r="C141" s="26"/>
      <c r="D141" s="39"/>
      <c r="E141" s="39"/>
      <c r="F141" s="39"/>
      <c r="G141" s="39"/>
      <c r="H141" s="39"/>
      <c r="I141" s="39"/>
      <c r="J141" s="244"/>
      <c r="K141"/>
    </row>
    <row r="142" spans="1:15" ht="15.95" customHeight="1" thickBot="1">
      <c r="A142" s="247"/>
      <c r="B142" s="248" t="str">
        <f>+C2</f>
        <v>LA : Hastings</v>
      </c>
      <c r="C142" s="249"/>
      <c r="D142" s="249"/>
      <c r="E142" s="250"/>
      <c r="F142" s="250"/>
      <c r="G142" s="250"/>
      <c r="H142" s="250"/>
      <c r="I142" s="250"/>
      <c r="J142" s="251"/>
      <c r="K142" s="252">
        <f>+K8</f>
        <v>0</v>
      </c>
    </row>
    <row r="143" spans="1:15" ht="39" customHeight="1" thickBot="1">
      <c r="A143" s="41"/>
      <c r="B143" s="47"/>
      <c r="C143" s="47"/>
      <c r="D143" s="48"/>
      <c r="E143" s="312" t="s">
        <v>798</v>
      </c>
      <c r="F143" s="313" t="s">
        <v>778</v>
      </c>
      <c r="G143" s="335" t="s">
        <v>800</v>
      </c>
      <c r="H143" s="313"/>
      <c r="I143" s="313"/>
      <c r="J143" s="48"/>
      <c r="K143" s="49"/>
    </row>
    <row r="144" spans="1:15" ht="39" customHeight="1">
      <c r="A144" s="705"/>
      <c r="B144" s="26"/>
      <c r="C144" s="26"/>
      <c r="D144" s="39"/>
      <c r="E144" s="242"/>
      <c r="F144" s="43"/>
      <c r="G144" s="231"/>
      <c r="H144" s="43"/>
      <c r="I144" s="43"/>
      <c r="J144" s="39"/>
      <c r="K144" s="40"/>
    </row>
    <row r="145" spans="1:15" ht="39" customHeight="1">
      <c r="A145" s="681"/>
      <c r="B145" s="26"/>
      <c r="C145" s="26"/>
      <c r="D145" s="39"/>
      <c r="E145" s="242"/>
      <c r="F145" s="43"/>
      <c r="G145" s="231"/>
      <c r="H145" s="43"/>
      <c r="I145" s="43"/>
      <c r="J145" s="39"/>
      <c r="K145" s="40"/>
    </row>
    <row r="146" spans="1:15" ht="15.75">
      <c r="A146" s="681"/>
      <c r="B146" s="242" t="s">
        <v>902</v>
      </c>
      <c r="C146" s="330"/>
      <c r="D146" s="330"/>
      <c r="E146" s="330"/>
      <c r="F146" s="330"/>
      <c r="G146" s="330"/>
      <c r="H146" s="330"/>
      <c r="I146" s="330"/>
      <c r="J146" s="330"/>
      <c r="K146" s="232"/>
    </row>
    <row r="147" spans="1:15" ht="16.5" thickBot="1">
      <c r="A147" s="681"/>
      <c r="B147" s="242"/>
      <c r="C147" s="330"/>
      <c r="D147" s="330"/>
      <c r="E147" s="330"/>
      <c r="F147" s="330"/>
      <c r="G147" s="330"/>
      <c r="H147" s="330"/>
      <c r="I147" s="330"/>
      <c r="J147" s="330"/>
      <c r="K147" s="232"/>
    </row>
    <row r="148" spans="1:15" ht="23.25">
      <c r="A148" s="681"/>
      <c r="B148" s="26" t="s">
        <v>903</v>
      </c>
      <c r="E148" s="154">
        <f ca="1">'QRC4 Form'!I37</f>
        <v>37633</v>
      </c>
      <c r="F148" s="154">
        <f ca="1">'QRC4 Form'!K37</f>
        <v>21402</v>
      </c>
      <c r="G148" s="39"/>
      <c r="H148" s="39"/>
      <c r="I148" s="39"/>
      <c r="J148" s="663"/>
      <c r="K148" s="700"/>
      <c r="L148" s="307">
        <f>IF(AND((SUM(E152:F152)&lt;&gt;0),J148=""),1,0)</f>
        <v>0</v>
      </c>
      <c r="M148" s="307">
        <f>IF(AND((SUM(E152:F152)=0),J148=""),0,1)</f>
        <v>0</v>
      </c>
      <c r="N148" s="307">
        <f>IF(AND((SUM(E152:F152)=0),J148&lt;&gt;""),2,0)</f>
        <v>0</v>
      </c>
      <c r="O148" s="334">
        <f>SUM(L148:N148)</f>
        <v>0</v>
      </c>
    </row>
    <row r="149" spans="1:15" ht="15.95" customHeight="1">
      <c r="A149" s="681"/>
      <c r="B149" s="26" t="s">
        <v>904</v>
      </c>
      <c r="E149" s="154">
        <f ca="1">'QRC4 Form'!I45</f>
        <v>737</v>
      </c>
      <c r="F149" s="154">
        <f ca="1">'QRC4 Form'!K45</f>
        <v>342</v>
      </c>
      <c r="G149" s="43"/>
      <c r="H149" s="43"/>
      <c r="I149" s="43"/>
      <c r="J149" s="701"/>
      <c r="K149" s="702"/>
    </row>
    <row r="150" spans="1:15" ht="15.95" customHeight="1">
      <c r="A150" s="681"/>
      <c r="C150" s="243" t="s">
        <v>714</v>
      </c>
      <c r="E150" s="406">
        <f>IF(E148+E149=0," ",IF(E149=0," ",(E148-E149)))</f>
        <v>36896</v>
      </c>
      <c r="F150" s="406">
        <f>IF(F148+F149=0," ",IF(F149=0," ",(F148-F149)))</f>
        <v>21060</v>
      </c>
      <c r="G150" s="39"/>
      <c r="H150" s="39"/>
      <c r="I150" s="39"/>
      <c r="J150" s="701"/>
      <c r="K150" s="702"/>
    </row>
    <row r="151" spans="1:15" ht="15.95" customHeight="1" thickBot="1">
      <c r="A151" s="681"/>
      <c r="E151" s="39"/>
      <c r="F151" s="39"/>
      <c r="G151" s="39"/>
      <c r="H151" s="39"/>
      <c r="I151" s="39"/>
      <c r="J151" s="701"/>
      <c r="K151" s="702"/>
    </row>
    <row r="152" spans="1:15" ht="30" customHeight="1" thickBot="1">
      <c r="A152" s="681"/>
      <c r="B152" s="305" t="str">
        <f>IF(SUM(E152:F152)=0,"Go to Test 13","Please explain the reason for the difference in the yellow box on the right")</f>
        <v>Go to Test 13</v>
      </c>
      <c r="C152" s="262"/>
      <c r="D152" s="262"/>
      <c r="E152" s="407" t="str">
        <f ca="1">IF(AND(E149&gt;0,E150&lt;+Parameters!B16),E150,"")</f>
        <v/>
      </c>
      <c r="F152" s="407" t="str">
        <f ca="1">IF(AND(F149&gt;0,F150&lt;+Parameters!C16),F150,"")</f>
        <v/>
      </c>
      <c r="G152" s="39"/>
      <c r="H152" s="39"/>
      <c r="I152" s="39"/>
      <c r="J152" s="703"/>
      <c r="K152" s="704"/>
    </row>
    <row r="153" spans="1:15" ht="28.5" customHeight="1">
      <c r="A153" s="681"/>
      <c r="B153" s="236"/>
      <c r="E153" s="39"/>
      <c r="F153" s="39"/>
      <c r="G153" s="39"/>
      <c r="H153" s="39"/>
      <c r="I153" s="39"/>
      <c r="J153" s="673" t="s">
        <v>799</v>
      </c>
      <c r="K153" s="695"/>
    </row>
    <row r="154" spans="1:15" ht="15.95" customHeight="1" thickBot="1">
      <c r="A154" s="698"/>
      <c r="B154" s="379"/>
      <c r="C154" s="377"/>
      <c r="D154" s="374"/>
      <c r="E154" s="374"/>
      <c r="F154" s="374"/>
      <c r="G154" s="374"/>
      <c r="H154" s="374"/>
      <c r="I154" s="374"/>
      <c r="J154" s="374"/>
      <c r="K154" s="380"/>
    </row>
    <row r="155" spans="1:15" ht="15.95" customHeight="1" thickTop="1">
      <c r="A155" s="696"/>
      <c r="B155" s="26"/>
      <c r="C155" s="26"/>
      <c r="D155" s="39"/>
      <c r="E155" s="39"/>
      <c r="F155" s="39"/>
      <c r="G155" s="39"/>
      <c r="H155" s="39"/>
      <c r="I155" s="39"/>
      <c r="J155" s="39"/>
      <c r="K155" s="40"/>
    </row>
    <row r="156" spans="1:15" ht="15.95" customHeight="1">
      <c r="A156" s="697"/>
      <c r="B156" s="26"/>
      <c r="C156" s="26"/>
      <c r="D156" s="39"/>
      <c r="E156" s="39"/>
      <c r="F156" s="39"/>
      <c r="G156" s="39"/>
      <c r="H156" s="39"/>
      <c r="I156" s="39"/>
      <c r="J156" s="39"/>
      <c r="K156" s="40"/>
    </row>
    <row r="157" spans="1:15" ht="15.95" customHeight="1">
      <c r="A157" s="697"/>
      <c r="B157" s="42" t="s">
        <v>729</v>
      </c>
      <c r="C157" s="26"/>
      <c r="D157" s="39"/>
      <c r="E157" s="39"/>
      <c r="F157" s="39"/>
      <c r="G157" s="39"/>
      <c r="H157" s="39"/>
      <c r="I157" s="39"/>
      <c r="J157" s="39"/>
      <c r="K157" s="40"/>
    </row>
    <row r="158" spans="1:15" ht="15.95" customHeight="1" thickBot="1">
      <c r="A158" s="697"/>
      <c r="B158" s="42"/>
      <c r="C158" s="26"/>
      <c r="D158" s="39"/>
      <c r="E158" s="39"/>
      <c r="F158" s="39"/>
      <c r="H158" s="39"/>
      <c r="I158" s="39"/>
      <c r="J158" s="39"/>
      <c r="K158" s="40"/>
    </row>
    <row r="159" spans="1:15" ht="15.95" customHeight="1">
      <c r="A159" s="697"/>
      <c r="B159" s="26" t="s">
        <v>905</v>
      </c>
      <c r="C159" s="42"/>
      <c r="D159" s="43"/>
      <c r="E159"/>
      <c r="F159" s="43"/>
      <c r="G159" s="262">
        <f ca="1">'QRC4 Form'!K95</f>
        <v>0</v>
      </c>
      <c r="H159" s="43"/>
      <c r="I159" s="43"/>
      <c r="J159" s="663"/>
      <c r="K159" s="700"/>
      <c r="L159" s="307">
        <f>IF(AND(G161&lt;&gt;"",J159=""),1,0)</f>
        <v>0</v>
      </c>
      <c r="M159" s="307">
        <f>IF(AND(G161="",J159=""),0,1)</f>
        <v>0</v>
      </c>
      <c r="N159" s="307">
        <f>IF(AND(G161=0,J159&lt;&gt;""),2,0)</f>
        <v>0</v>
      </c>
      <c r="O159" s="334">
        <f>SUM(L159:N159)</f>
        <v>0</v>
      </c>
    </row>
    <row r="160" spans="1:15" ht="16.5" thickBot="1">
      <c r="A160" s="697"/>
      <c r="B160" s="26"/>
      <c r="C160" s="42"/>
      <c r="D160" s="43"/>
      <c r="E160"/>
      <c r="F160" s="43"/>
      <c r="G160" s="43"/>
      <c r="H160" s="43"/>
      <c r="I160" s="43"/>
      <c r="J160" s="701"/>
      <c r="K160" s="702"/>
    </row>
    <row r="161" spans="1:15" ht="30" customHeight="1" thickBot="1">
      <c r="A161" s="697"/>
      <c r="B161" s="305" t="str">
        <f>IF(G161="","Go to Test 14","Please explain the reason for the difference in the yellow box on the right")</f>
        <v>Go to Test 14</v>
      </c>
      <c r="C161" s="26"/>
      <c r="D161" s="46"/>
      <c r="F161" s="153"/>
      <c r="G161" s="407" t="str">
        <f ca="1">IF(G159&gt;+Parameters!D17,G159,"")</f>
        <v/>
      </c>
      <c r="H161" s="153"/>
      <c r="I161" s="153"/>
      <c r="J161" s="703"/>
      <c r="K161" s="704"/>
    </row>
    <row r="162" spans="1:15" ht="30" customHeight="1">
      <c r="A162" s="697"/>
      <c r="B162" s="236"/>
      <c r="C162" s="26"/>
      <c r="D162" s="39"/>
      <c r="F162"/>
      <c r="G162"/>
      <c r="H162" s="316"/>
      <c r="I162" s="316"/>
      <c r="J162" s="673" t="s">
        <v>799</v>
      </c>
      <c r="K162" s="695"/>
    </row>
    <row r="163" spans="1:15" ht="15.95" customHeight="1" thickBot="1">
      <c r="A163" s="697"/>
      <c r="B163" s="379"/>
      <c r="C163" s="377"/>
      <c r="D163" s="374"/>
      <c r="E163" s="374"/>
      <c r="F163" s="374"/>
      <c r="G163" s="374"/>
      <c r="H163" s="374"/>
      <c r="I163" s="374"/>
      <c r="J163" s="386"/>
      <c r="K163" s="380"/>
    </row>
    <row r="164" spans="1:15" ht="16.5" thickTop="1">
      <c r="A164" s="696"/>
      <c r="B164" s="32"/>
      <c r="C164" s="32"/>
      <c r="D164" s="32"/>
      <c r="E164" s="32"/>
      <c r="F164" s="32"/>
      <c r="G164" s="32"/>
      <c r="H164" s="32"/>
      <c r="I164" s="32"/>
      <c r="J164" s="32"/>
      <c r="K164" s="346"/>
      <c r="L164" s="231"/>
      <c r="M164" s="12"/>
    </row>
    <row r="165" spans="1:15" ht="15.75">
      <c r="A165" s="697"/>
      <c r="B165" s="32"/>
      <c r="C165" s="32"/>
      <c r="D165" s="32"/>
      <c r="E165" s="32"/>
      <c r="F165" s="32"/>
      <c r="G165" s="32"/>
      <c r="H165" s="32"/>
      <c r="I165" s="32"/>
      <c r="J165" s="32"/>
      <c r="K165" s="346"/>
      <c r="L165" s="231"/>
      <c r="M165" s="12"/>
    </row>
    <row r="166" spans="1:15" ht="15.95" customHeight="1">
      <c r="A166" s="697"/>
      <c r="B166" s="242" t="s">
        <v>927</v>
      </c>
      <c r="C166" s="231"/>
      <c r="D166" s="231"/>
      <c r="E166" s="231"/>
      <c r="F166" s="231"/>
      <c r="G166" s="231"/>
      <c r="H166" s="231"/>
      <c r="I166" s="231"/>
      <c r="J166" s="231"/>
      <c r="K166" s="347"/>
      <c r="L166" s="50"/>
      <c r="M166" s="12"/>
    </row>
    <row r="167" spans="1:15" ht="15.95" customHeight="1" thickBot="1">
      <c r="A167" s="697"/>
      <c r="B167" s="242"/>
      <c r="C167" s="231"/>
      <c r="D167" s="231"/>
      <c r="E167" s="231"/>
      <c r="F167" s="231"/>
      <c r="G167" s="231"/>
      <c r="H167" s="231"/>
      <c r="I167" s="231"/>
      <c r="J167" s="231"/>
      <c r="K167" s="347"/>
      <c r="L167" s="50"/>
      <c r="M167" s="12"/>
    </row>
    <row r="168" spans="1:15" ht="15.95" customHeight="1">
      <c r="A168" s="697"/>
      <c r="B168" s="26" t="s">
        <v>930</v>
      </c>
      <c r="C168" s="337"/>
      <c r="D168" s="336"/>
      <c r="E168" s="154">
        <f ca="1">'QRC4 Form'!I33</f>
        <v>39562</v>
      </c>
      <c r="F168" s="154">
        <f ca="1">'QRC4 Form'!K33</f>
        <v>21898</v>
      </c>
      <c r="G168" s="39"/>
      <c r="H168" s="39"/>
      <c r="I168" s="39"/>
      <c r="J168" s="663" t="s">
        <v>939</v>
      </c>
      <c r="K168" s="710"/>
      <c r="L168" s="307">
        <f>IF(AND((SUM(E172:F172)&lt;&gt;0),J168=""),1,0)</f>
        <v>0</v>
      </c>
      <c r="M168" s="307">
        <f>IF(AND((SUM(E172:F172)=0),J168=""),0,1)</f>
        <v>1</v>
      </c>
      <c r="N168" s="307">
        <f>IF(AND((SUM(E172:F172)=0),J168&lt;&gt;""),2,0)</f>
        <v>0</v>
      </c>
      <c r="O168" s="334">
        <f>SUM(L168:N168)</f>
        <v>1</v>
      </c>
    </row>
    <row r="169" spans="1:15">
      <c r="A169" s="697"/>
      <c r="B169" s="26" t="s">
        <v>906</v>
      </c>
      <c r="C169" s="337"/>
      <c r="D169" s="336"/>
      <c r="E169" s="154">
        <f ca="1">IF(E168+F168=0,0,VLOOKUP('QRC4 Form'!$I$1,Data!$A$12:$AN$338,39,FALSE))</f>
        <v>49585.603020000002</v>
      </c>
      <c r="F169" s="154">
        <f ca="1">IF(E168+F168=0,0,VLOOKUP('QRC4 Form'!$I$1,Data!$A$12:$AN$338,35,FALSE)/1000)</f>
        <v>21747.397089999999</v>
      </c>
      <c r="G169" s="39"/>
      <c r="H169" s="39"/>
      <c r="I169" s="39"/>
      <c r="J169" s="701"/>
      <c r="K169" s="711"/>
    </row>
    <row r="170" spans="1:15">
      <c r="A170" s="697"/>
      <c r="B170" s="26"/>
      <c r="C170" s="243" t="s">
        <v>714</v>
      </c>
      <c r="D170" s="336"/>
      <c r="E170" s="329">
        <f>IF(E168+E169=0," ",IF(E169=0," ",ABS(E168-E169)/E169*100))</f>
        <v>20.21474462246038</v>
      </c>
      <c r="F170" s="329">
        <f>IF(F168+F169=0," ",IF(F169=0," ",ABS(F168-F169)/F169*100))</f>
        <v>0.69251004787718906</v>
      </c>
      <c r="G170" s="39"/>
      <c r="H170" s="39"/>
      <c r="I170" s="39"/>
      <c r="J170" s="701"/>
      <c r="K170" s="711"/>
    </row>
    <row r="171" spans="1:15" ht="15.95" customHeight="1" thickBot="1">
      <c r="A171" s="697"/>
      <c r="B171" s="26"/>
      <c r="C171" s="337"/>
      <c r="D171" s="336"/>
      <c r="E171" s="39"/>
      <c r="F171" s="39"/>
      <c r="G171" s="39"/>
      <c r="H171" s="39"/>
      <c r="I171" s="39"/>
      <c r="J171" s="701"/>
      <c r="K171" s="711"/>
    </row>
    <row r="172" spans="1:15" ht="30" customHeight="1" thickBot="1">
      <c r="A172" s="697"/>
      <c r="B172" s="305" t="str">
        <f>IF(SUM(E172:F172)=0,"Go to Test 15","Please explain the reason for the difference in the yellow box on the right")</f>
        <v>Please explain the reason for the difference in the yellow box on the right</v>
      </c>
      <c r="C172" s="263"/>
      <c r="D172" s="263"/>
      <c r="E172" s="322">
        <f ca="1">IF(AND(E169&gt;15,E170&gt;+Parameters!B18),E170,"")</f>
        <v>20.21474462246038</v>
      </c>
      <c r="F172" s="322" t="str">
        <f ca="1">IF(AND(F169&gt;10,F170&gt;+Parameters!C18),F170,"")</f>
        <v/>
      </c>
      <c r="G172" s="39"/>
      <c r="H172" s="39"/>
      <c r="I172" s="39"/>
      <c r="J172" s="703"/>
      <c r="K172" s="712"/>
    </row>
    <row r="173" spans="1:15" ht="30" customHeight="1">
      <c r="A173" s="697"/>
      <c r="B173" s="236"/>
      <c r="C173" s="337"/>
      <c r="D173" s="336"/>
      <c r="E173" s="39"/>
      <c r="F173" s="39"/>
      <c r="G173" s="39"/>
      <c r="H173" s="39"/>
      <c r="I173" s="39"/>
      <c r="J173" s="673" t="s">
        <v>799</v>
      </c>
      <c r="K173" s="695"/>
    </row>
    <row r="174" spans="1:15" ht="15.95" customHeight="1" thickBot="1">
      <c r="A174" s="709"/>
      <c r="B174" s="245"/>
      <c r="C174" s="246"/>
      <c r="D174" s="246"/>
      <c r="E174" s="48"/>
      <c r="F174" s="48"/>
      <c r="G174" s="48"/>
      <c r="H174" s="48"/>
      <c r="I174" s="48"/>
      <c r="J174" s="64"/>
      <c r="K174" s="147"/>
    </row>
    <row r="175" spans="1:15" ht="15.95" customHeight="1" thickBot="1">
      <c r="A175" s="247"/>
      <c r="B175" s="248" t="str">
        <f>+C2</f>
        <v>LA : Hastings</v>
      </c>
      <c r="C175" s="249"/>
      <c r="D175" s="249"/>
      <c r="E175" s="250"/>
      <c r="F175" s="250"/>
      <c r="G175" s="250"/>
      <c r="H175" s="250"/>
      <c r="I175" s="250"/>
      <c r="J175" s="251"/>
      <c r="K175" s="252">
        <f>+K8</f>
        <v>0</v>
      </c>
    </row>
    <row r="176" spans="1:15" ht="39" customHeight="1" thickBot="1">
      <c r="A176" s="41"/>
      <c r="B176" s="47"/>
      <c r="C176" s="47"/>
      <c r="D176" s="48"/>
      <c r="E176" s="312" t="s">
        <v>798</v>
      </c>
      <c r="F176" s="313" t="s">
        <v>778</v>
      </c>
      <c r="G176" s="335" t="s">
        <v>800</v>
      </c>
      <c r="H176" s="313"/>
      <c r="I176" s="313"/>
      <c r="J176" s="48"/>
      <c r="K176" s="49"/>
    </row>
    <row r="177" spans="1:15" ht="15.95" customHeight="1">
      <c r="A177" s="714"/>
      <c r="B177" s="236"/>
      <c r="C177" s="238"/>
      <c r="D177" s="238"/>
      <c r="E177" s="39"/>
      <c r="F177" s="39"/>
      <c r="G177" s="39"/>
      <c r="H177" s="39"/>
      <c r="I177" s="39"/>
      <c r="J177" s="12"/>
      <c r="K177" s="333"/>
    </row>
    <row r="178" spans="1:15" ht="15.95" customHeight="1">
      <c r="A178" s="715"/>
      <c r="B178" s="26"/>
      <c r="C178" s="26"/>
      <c r="D178" s="39"/>
      <c r="E178" s="39"/>
      <c r="F178" s="39"/>
      <c r="G178" s="39"/>
      <c r="H178" s="39"/>
      <c r="I178" s="39"/>
      <c r="J178" s="39"/>
      <c r="K178" s="40"/>
    </row>
    <row r="179" spans="1:15" ht="15.95" customHeight="1">
      <c r="A179" s="715"/>
      <c r="B179" s="42" t="s">
        <v>928</v>
      </c>
      <c r="C179" s="26"/>
      <c r="D179" s="39"/>
      <c r="E179" s="39"/>
      <c r="F179" s="39"/>
      <c r="G179" s="39"/>
      <c r="H179" s="39"/>
      <c r="I179" s="39"/>
      <c r="J179" s="39"/>
      <c r="K179" s="40"/>
    </row>
    <row r="180" spans="1:15" ht="15.95" customHeight="1" thickBot="1">
      <c r="A180" s="715"/>
      <c r="B180" s="42"/>
      <c r="C180" s="26"/>
      <c r="D180" s="39"/>
      <c r="E180" s="39"/>
      <c r="F180" s="39"/>
      <c r="G180" s="39"/>
      <c r="H180" s="39"/>
      <c r="I180" s="39"/>
      <c r="J180" s="39"/>
      <c r="K180" s="40"/>
    </row>
    <row r="181" spans="1:15" ht="15.95" customHeight="1">
      <c r="A181" s="715"/>
      <c r="B181" s="26" t="s">
        <v>716</v>
      </c>
      <c r="C181" s="337"/>
      <c r="D181" s="336"/>
      <c r="E181" s="154">
        <f ca="1">'QRC4 Form'!I59+'QRC4 Form'!I61+'QRC4 Form'!I63+'QRC4 Form'!I65</f>
        <v>38910</v>
      </c>
      <c r="F181" s="154">
        <f ca="1">'QRC4 Form'!K59+'QRC4 Form'!K61+'QRC4 Form'!K63+'QRC4 Form'!K65</f>
        <v>21964</v>
      </c>
      <c r="G181" s="39"/>
      <c r="H181" s="39"/>
      <c r="I181" s="39"/>
      <c r="J181" s="663"/>
      <c r="K181" s="700"/>
      <c r="L181" s="307">
        <f>IF(AND((SUM(E185:F185)&lt;&gt;0),J181=""),1,0)</f>
        <v>0</v>
      </c>
      <c r="M181" s="307">
        <f>IF(AND((SUM(E185:F185)=0),J181=""),0,1)</f>
        <v>0</v>
      </c>
      <c r="N181" s="307">
        <f>IF(AND((SUM(E185:F185)=0),J181&lt;&gt;""),2,0)</f>
        <v>0</v>
      </c>
      <c r="O181" s="334">
        <f>SUM(L181:N181)</f>
        <v>0</v>
      </c>
    </row>
    <row r="182" spans="1:15" ht="15.95" customHeight="1">
      <c r="A182" s="715"/>
      <c r="B182" s="26" t="s">
        <v>715</v>
      </c>
      <c r="C182" s="337"/>
      <c r="D182" s="336"/>
      <c r="E182" s="154">
        <f ca="1">'QRC4 Form'!I49</f>
        <v>38910</v>
      </c>
      <c r="F182" s="154">
        <f ca="1">'QRC4 Form'!K49</f>
        <v>21964</v>
      </c>
      <c r="G182" s="39"/>
      <c r="H182" s="39"/>
      <c r="I182" s="39"/>
      <c r="J182" s="701"/>
      <c r="K182" s="702"/>
      <c r="L182" s="50"/>
    </row>
    <row r="183" spans="1:15" ht="15.95" customHeight="1">
      <c r="A183" s="715"/>
      <c r="B183" s="26"/>
      <c r="C183" s="243" t="s">
        <v>714</v>
      </c>
      <c r="D183" s="336"/>
      <c r="E183" s="406">
        <f>IF(E181+E182=0," ",IF(E182=0," ",ABS(E181-E182)))</f>
        <v>0</v>
      </c>
      <c r="F183" s="406">
        <f>IF(F181+F182=0," ",IF(F182=0," ",ABS(F181-F182)))</f>
        <v>0</v>
      </c>
      <c r="G183" s="39"/>
      <c r="H183" s="39"/>
      <c r="I183" s="39"/>
      <c r="J183" s="701"/>
      <c r="K183" s="702"/>
      <c r="L183" s="50"/>
    </row>
    <row r="184" spans="1:15" ht="15.95" customHeight="1" thickBot="1">
      <c r="A184" s="715"/>
      <c r="B184" s="26"/>
      <c r="C184" s="337"/>
      <c r="D184" s="336"/>
      <c r="E184" s="39"/>
      <c r="F184" s="39"/>
      <c r="G184" s="39"/>
      <c r="H184" s="39"/>
      <c r="I184" s="39"/>
      <c r="J184" s="701"/>
      <c r="K184" s="702"/>
      <c r="L184" s="50"/>
    </row>
    <row r="185" spans="1:15" ht="30" customHeight="1" thickBot="1">
      <c r="A185" s="715"/>
      <c r="B185" s="305" t="str">
        <f>IF(SUM(E185:F185)=0,"","Please explain the reason for the difference in the yellow box on the right")</f>
        <v/>
      </c>
      <c r="C185" s="264"/>
      <c r="D185" s="264"/>
      <c r="E185" s="407" t="str">
        <f ca="1">IF(AND(E182&gt;0,E183&gt;+Parameters!B19),E183,"")</f>
        <v/>
      </c>
      <c r="F185" s="407" t="str">
        <f ca="1">IF(AND(F182&gt;0,F183&gt;+Parameters!C19),F183,"")</f>
        <v/>
      </c>
      <c r="G185" s="39"/>
      <c r="H185" s="39"/>
      <c r="I185" s="39"/>
      <c r="J185" s="703"/>
      <c r="K185" s="704"/>
      <c r="L185" s="50"/>
    </row>
    <row r="186" spans="1:15" ht="28.5" customHeight="1">
      <c r="A186" s="715"/>
      <c r="B186" s="236"/>
      <c r="C186" s="337"/>
      <c r="D186" s="336"/>
      <c r="E186" s="39"/>
      <c r="F186" s="39"/>
      <c r="G186" s="39"/>
      <c r="H186" s="39"/>
      <c r="I186" s="39"/>
      <c r="J186" s="673" t="s">
        <v>799</v>
      </c>
      <c r="K186" s="695"/>
      <c r="L186" s="50"/>
    </row>
    <row r="187" spans="1:15" ht="15.95" customHeight="1" thickBot="1">
      <c r="A187" s="716"/>
      <c r="B187" s="47"/>
      <c r="C187" s="47"/>
      <c r="D187" s="48"/>
      <c r="E187" s="48"/>
      <c r="F187" s="48"/>
      <c r="G187" s="48"/>
      <c r="H187" s="48"/>
      <c r="I187" s="48"/>
      <c r="J187" s="48"/>
      <c r="K187" s="49"/>
      <c r="L187" s="50"/>
    </row>
    <row r="188" spans="1:15">
      <c r="A188" s="76"/>
      <c r="B188" s="77"/>
      <c r="C188" s="77"/>
      <c r="D188" s="76"/>
      <c r="E188" s="76"/>
      <c r="F188" s="76"/>
      <c r="G188" s="76"/>
      <c r="H188" s="76"/>
      <c r="I188" s="76"/>
      <c r="J188" s="76"/>
      <c r="K188" s="76"/>
      <c r="L188" s="78"/>
    </row>
    <row r="189" spans="1:15">
      <c r="A189" s="76"/>
      <c r="B189" s="77"/>
      <c r="C189" s="77"/>
      <c r="D189" s="76"/>
      <c r="E189" s="76"/>
      <c r="F189" s="76"/>
      <c r="G189" s="76"/>
      <c r="H189" s="76"/>
      <c r="I189" s="76"/>
      <c r="J189" s="76"/>
      <c r="K189" s="76"/>
    </row>
  </sheetData>
  <mergeCells count="51">
    <mergeCell ref="J181:K185"/>
    <mergeCell ref="A108:A118"/>
    <mergeCell ref="A144:A154"/>
    <mergeCell ref="A119:A129"/>
    <mergeCell ref="J159:K161"/>
    <mergeCell ref="J139:K139"/>
    <mergeCell ref="J128:K128"/>
    <mergeCell ref="J112:K116"/>
    <mergeCell ref="J117:K117"/>
    <mergeCell ref="J186:K186"/>
    <mergeCell ref="J134:K138"/>
    <mergeCell ref="J148:K152"/>
    <mergeCell ref="J153:K153"/>
    <mergeCell ref="A164:A174"/>
    <mergeCell ref="J168:K172"/>
    <mergeCell ref="J173:K173"/>
    <mergeCell ref="A155:A163"/>
    <mergeCell ref="A130:A140"/>
    <mergeCell ref="A177:A187"/>
    <mergeCell ref="J162:K162"/>
    <mergeCell ref="A97:A107"/>
    <mergeCell ref="J93:K93"/>
    <mergeCell ref="A73:A83"/>
    <mergeCell ref="J77:K81"/>
    <mergeCell ref="J88:K92"/>
    <mergeCell ref="J101:K105"/>
    <mergeCell ref="A84:A94"/>
    <mergeCell ref="J123:K127"/>
    <mergeCell ref="J60:K60"/>
    <mergeCell ref="J71:K71"/>
    <mergeCell ref="A62:A72"/>
    <mergeCell ref="J66:K70"/>
    <mergeCell ref="J82:K82"/>
    <mergeCell ref="J106:K106"/>
    <mergeCell ref="J55:K59"/>
    <mergeCell ref="A51:A61"/>
    <mergeCell ref="A5:K6"/>
    <mergeCell ref="A4:K4"/>
    <mergeCell ref="C14:C15"/>
    <mergeCell ref="C54:C55"/>
    <mergeCell ref="J14:K18"/>
    <mergeCell ref="J19:K19"/>
    <mergeCell ref="B8:J8"/>
    <mergeCell ref="A10:A20"/>
    <mergeCell ref="C35:C36"/>
    <mergeCell ref="A32:A42"/>
    <mergeCell ref="A21:A31"/>
    <mergeCell ref="J36:K40"/>
    <mergeCell ref="J25:K29"/>
    <mergeCell ref="J30:K30"/>
    <mergeCell ref="J41:K41"/>
  </mergeCells>
  <phoneticPr fontId="0" type="noConversion"/>
  <conditionalFormatting sqref="J148:K152">
    <cfRule type="expression" dxfId="45" priority="9" stopIfTrue="1">
      <formula>$O$148=0</formula>
    </cfRule>
    <cfRule type="expression" dxfId="44" priority="10" stopIfTrue="1">
      <formula>$O$148=3</formula>
    </cfRule>
    <cfRule type="expression" dxfId="43" priority="11" stopIfTrue="1">
      <formula>$O$148=2</formula>
    </cfRule>
  </conditionalFormatting>
  <conditionalFormatting sqref="J159:K161">
    <cfRule type="expression" dxfId="42" priority="12" stopIfTrue="1">
      <formula>$O$159=0</formula>
    </cfRule>
    <cfRule type="expression" dxfId="41" priority="13" stopIfTrue="1">
      <formula>$O$159=3</formula>
    </cfRule>
    <cfRule type="expression" dxfId="40" priority="14" stopIfTrue="1">
      <formula>$O$159=2</formula>
    </cfRule>
  </conditionalFormatting>
  <conditionalFormatting sqref="J168:K172">
    <cfRule type="expression" dxfId="39" priority="18" stopIfTrue="1">
      <formula>$O$168=0</formula>
    </cfRule>
    <cfRule type="expression" dxfId="38" priority="19" stopIfTrue="1">
      <formula>$O$168=3</formula>
    </cfRule>
    <cfRule type="expression" dxfId="37" priority="20" stopIfTrue="1">
      <formula>$O$168=2</formula>
    </cfRule>
  </conditionalFormatting>
  <conditionalFormatting sqref="J181:K185">
    <cfRule type="expression" dxfId="36" priority="21" stopIfTrue="1">
      <formula>$O$181=0</formula>
    </cfRule>
    <cfRule type="expression" dxfId="35" priority="22" stopIfTrue="1">
      <formula>$O$181=3</formula>
    </cfRule>
    <cfRule type="expression" dxfId="34" priority="23" stopIfTrue="1">
      <formula>$O$181=2</formula>
    </cfRule>
  </conditionalFormatting>
  <conditionalFormatting sqref="J101:K105">
    <cfRule type="expression" dxfId="33" priority="24" stopIfTrue="1">
      <formula>$O$101=0</formula>
    </cfRule>
    <cfRule type="expression" dxfId="32" priority="25" stopIfTrue="1">
      <formula>$O$101=3</formula>
    </cfRule>
    <cfRule type="expression" dxfId="31" priority="26" stopIfTrue="1">
      <formula>$O$101=2</formula>
    </cfRule>
  </conditionalFormatting>
  <conditionalFormatting sqref="J112:K116">
    <cfRule type="expression" dxfId="30" priority="27" stopIfTrue="1">
      <formula>$O$112=0</formula>
    </cfRule>
    <cfRule type="expression" dxfId="29" priority="28" stopIfTrue="1">
      <formula>$O$112=3</formula>
    </cfRule>
    <cfRule type="expression" dxfId="28" priority="29" stopIfTrue="1">
      <formula>$O$112=2</formula>
    </cfRule>
  </conditionalFormatting>
  <conditionalFormatting sqref="J123:K127">
    <cfRule type="expression" dxfId="27" priority="30" stopIfTrue="1">
      <formula>$O$123=0</formula>
    </cfRule>
    <cfRule type="expression" dxfId="26" priority="31" stopIfTrue="1">
      <formula>$O$123=3</formula>
    </cfRule>
    <cfRule type="expression" dxfId="25" priority="32" stopIfTrue="1">
      <formula>$O$123=2</formula>
    </cfRule>
  </conditionalFormatting>
  <conditionalFormatting sqref="J134:K138">
    <cfRule type="expression" dxfId="24" priority="33" stopIfTrue="1">
      <formula>$O$134=0</formula>
    </cfRule>
    <cfRule type="expression" dxfId="23" priority="34" stopIfTrue="1">
      <formula>$O$134=3</formula>
    </cfRule>
    <cfRule type="expression" dxfId="22" priority="35" stopIfTrue="1">
      <formula>$O$134=2</formula>
    </cfRule>
  </conditionalFormatting>
  <conditionalFormatting sqref="J55:K59">
    <cfRule type="expression" dxfId="21" priority="36" stopIfTrue="1">
      <formula>$O$55=0</formula>
    </cfRule>
    <cfRule type="expression" dxfId="20" priority="37" stopIfTrue="1">
      <formula>$O$55=3</formula>
    </cfRule>
    <cfRule type="expression" dxfId="19" priority="38" stopIfTrue="1">
      <formula>$O$55=2</formula>
    </cfRule>
  </conditionalFormatting>
  <conditionalFormatting sqref="J66:K70">
    <cfRule type="expression" dxfId="18" priority="39" stopIfTrue="1">
      <formula>$O$66=0</formula>
    </cfRule>
    <cfRule type="expression" dxfId="17" priority="40" stopIfTrue="1">
      <formula>$O$66=3</formula>
    </cfRule>
    <cfRule type="expression" dxfId="16" priority="41" stopIfTrue="1">
      <formula>$O$66=2</formula>
    </cfRule>
  </conditionalFormatting>
  <conditionalFormatting sqref="G67">
    <cfRule type="cellIs" dxfId="15" priority="42" stopIfTrue="1" operator="greaterThan">
      <formula>$G$66</formula>
    </cfRule>
  </conditionalFormatting>
  <conditionalFormatting sqref="J77:K81">
    <cfRule type="expression" dxfId="14" priority="43" stopIfTrue="1">
      <formula>$O$77=0</formula>
    </cfRule>
    <cfRule type="expression" dxfId="13" priority="44" stopIfTrue="1">
      <formula>$O$77=3</formula>
    </cfRule>
    <cfRule type="expression" dxfId="12" priority="45" stopIfTrue="1">
      <formula>$O$77=2</formula>
    </cfRule>
  </conditionalFormatting>
  <conditionalFormatting sqref="J88:K92">
    <cfRule type="expression" dxfId="11" priority="46" stopIfTrue="1">
      <formula>$O$88=0</formula>
    </cfRule>
    <cfRule type="expression" dxfId="10" priority="47" stopIfTrue="1">
      <formula>$O$88=3</formula>
    </cfRule>
    <cfRule type="expression" dxfId="9" priority="48" stopIfTrue="1">
      <formula>$O$88=2</formula>
    </cfRule>
  </conditionalFormatting>
  <conditionalFormatting sqref="J25:K29">
    <cfRule type="expression" dxfId="8" priority="49" stopIfTrue="1">
      <formula>$O$25=0</formula>
    </cfRule>
    <cfRule type="expression" dxfId="7" priority="50" stopIfTrue="1">
      <formula>$O$25=3</formula>
    </cfRule>
    <cfRule type="expression" dxfId="6" priority="51" stopIfTrue="1">
      <formula>$O$25=2</formula>
    </cfRule>
  </conditionalFormatting>
  <conditionalFormatting sqref="J36:K40">
    <cfRule type="expression" dxfId="5" priority="55" stopIfTrue="1">
      <formula>$O$36=0</formula>
    </cfRule>
    <cfRule type="expression" dxfId="4" priority="56" stopIfTrue="1">
      <formula>$O$36=3</formula>
    </cfRule>
    <cfRule type="expression" dxfId="3" priority="57" stopIfTrue="1">
      <formula>$O$36=2</formula>
    </cfRule>
  </conditionalFormatting>
  <conditionalFormatting sqref="J14:K18">
    <cfRule type="expression" dxfId="2" priority="1" stopIfTrue="1">
      <formula>$O$25=0</formula>
    </cfRule>
    <cfRule type="expression" dxfId="1" priority="2" stopIfTrue="1">
      <formula>$O$25=3</formula>
    </cfRule>
    <cfRule type="expression" dxfId="0" priority="3" stopIfTrue="1">
      <formula>$O$25=2</formula>
    </cfRule>
  </conditionalFormatting>
  <hyperlinks>
    <hyperlink ref="J30:K30" location="'QRC4 Form'!A70" display="Click here to return to form"/>
    <hyperlink ref="J41:K41" location="'QRC4 Form'!A70" display="Click here to return to the form"/>
    <hyperlink ref="J60:K60" location="'QRC4 Form'!A70" display="Click here to return to the form"/>
    <hyperlink ref="J71:K71" location="'QRC4 Form'!A70" display="Click here to return the form"/>
    <hyperlink ref="J82:K82" location="'QRC4 Form'!A70" display="Click here to return the form"/>
    <hyperlink ref="J93:K93" location="'QRC4 Form'!A70" display="Click here to return the form"/>
    <hyperlink ref="J106:K106" location="'QRC4 Form'!A70" display="Click here to return the form"/>
    <hyperlink ref="J117:K117" location="'QRC4 Form'!A70" display="Click here to return the form"/>
    <hyperlink ref="J128:K128" location="'QRC4 Form'!A70" display="Click here to return the form"/>
    <hyperlink ref="J139:K139" location="'QRC4 Form'!A70" display="Click here to return the form"/>
    <hyperlink ref="J153:K153" location="'QRC4 Form'!A70" display="Click here to return the form"/>
    <hyperlink ref="J162:K162" location="'QRC4 Form'!A70" display="Click here to return the form"/>
    <hyperlink ref="J173:K173" location="'QRC4 Form'!A70" display="Click here to return the form"/>
    <hyperlink ref="J186:K186" location="'QRC4 Form'!A70" display="Click here to return the form"/>
    <hyperlink ref="J19:K19" location="'QRC4 Form'!A70" display="Click here to return to form"/>
  </hyperlinks>
  <pageMargins left="0.39370078740157483" right="0.39370078740157483" top="0.98425196850393704" bottom="0.98425196850393704" header="0.51181102362204722" footer="0.51181102362204722"/>
  <pageSetup paperSize="9" scale="52" fitToHeight="8" orientation="landscape" r:id="rId1"/>
  <headerFooter alignWithMargins="0">
    <oddHeader>&amp;A</oddHeader>
    <oddFooter>Page &amp;P of &amp;N</oddFooter>
  </headerFooter>
  <drawing r:id="rId2"/>
</worksheet>
</file>

<file path=xl/worksheets/sheet4.xml><?xml version="1.0" encoding="utf-8"?>
<worksheet xmlns="http://schemas.openxmlformats.org/spreadsheetml/2006/main" xmlns:r="http://schemas.openxmlformats.org/officeDocument/2006/relationships">
  <sheetPr codeName="Sheet4"/>
  <dimension ref="A1:L19"/>
  <sheetViews>
    <sheetView workbookViewId="0">
      <selection activeCell="P6" sqref="P6"/>
    </sheetView>
  </sheetViews>
  <sheetFormatPr defaultRowHeight="12.75"/>
  <cols>
    <col min="1" max="1" width="9.140625" style="1"/>
    <col min="2" max="2" width="11" style="1" customWidth="1"/>
    <col min="3" max="3" width="9.140625" style="1"/>
    <col min="4" max="4" width="11" style="1" customWidth="1"/>
    <col min="5" max="12" width="9.140625" style="11"/>
    <col min="13" max="16384" width="9.140625" style="1"/>
  </cols>
  <sheetData>
    <row r="1" spans="1:11" ht="15.75">
      <c r="A1" s="323" t="s">
        <v>782</v>
      </c>
    </row>
    <row r="2" spans="1:11">
      <c r="A2" s="324" t="s">
        <v>840</v>
      </c>
    </row>
    <row r="4" spans="1:11" ht="25.5">
      <c r="A4" s="325"/>
      <c r="B4" s="326" t="s">
        <v>798</v>
      </c>
      <c r="C4" s="326" t="s">
        <v>778</v>
      </c>
      <c r="D4" s="326" t="s">
        <v>800</v>
      </c>
      <c r="E4" s="393"/>
      <c r="F4" s="393"/>
      <c r="G4" s="393"/>
      <c r="H4" s="393"/>
      <c r="I4" s="393"/>
      <c r="J4" s="393"/>
      <c r="K4" s="393"/>
    </row>
    <row r="5" spans="1:11">
      <c r="A5" s="327" t="s">
        <v>783</v>
      </c>
      <c r="B5" s="328">
        <v>10</v>
      </c>
      <c r="C5" s="327">
        <v>10</v>
      </c>
      <c r="D5" s="327"/>
      <c r="E5" s="394"/>
      <c r="F5" s="394"/>
      <c r="G5" s="394"/>
      <c r="H5" s="394"/>
      <c r="I5" s="394"/>
      <c r="J5" s="394"/>
      <c r="K5" s="394"/>
    </row>
    <row r="6" spans="1:11">
      <c r="A6" s="327" t="s">
        <v>784</v>
      </c>
      <c r="B6" s="328">
        <v>10</v>
      </c>
      <c r="C6" s="327">
        <v>10</v>
      </c>
      <c r="D6" s="327"/>
      <c r="E6" s="394"/>
      <c r="F6" s="394"/>
      <c r="G6" s="394"/>
      <c r="H6" s="394"/>
      <c r="I6" s="394"/>
      <c r="J6" s="394"/>
      <c r="K6" s="394"/>
    </row>
    <row r="7" spans="1:11">
      <c r="A7" s="327" t="s">
        <v>785</v>
      </c>
      <c r="B7" s="328">
        <v>10</v>
      </c>
      <c r="C7" s="327">
        <v>10</v>
      </c>
      <c r="D7" s="327"/>
      <c r="E7" s="394"/>
      <c r="F7" s="394"/>
      <c r="G7" s="394"/>
      <c r="H7" s="394"/>
      <c r="I7" s="394"/>
      <c r="J7" s="394"/>
      <c r="K7" s="394"/>
    </row>
    <row r="8" spans="1:11">
      <c r="A8" s="327" t="s">
        <v>786</v>
      </c>
      <c r="B8" s="328">
        <v>20</v>
      </c>
      <c r="C8" s="327">
        <v>20</v>
      </c>
      <c r="D8" s="327"/>
      <c r="E8" s="394"/>
      <c r="F8" s="394"/>
      <c r="G8" s="394"/>
      <c r="H8" s="394"/>
      <c r="I8" s="394"/>
      <c r="J8" s="394"/>
      <c r="K8" s="394"/>
    </row>
    <row r="9" spans="1:11">
      <c r="A9" s="327" t="s">
        <v>787</v>
      </c>
      <c r="B9" s="328">
        <v>0</v>
      </c>
      <c r="C9" s="327">
        <v>0</v>
      </c>
      <c r="D9" s="327">
        <v>0</v>
      </c>
      <c r="E9" s="394"/>
      <c r="F9" s="394"/>
      <c r="G9" s="394"/>
      <c r="H9" s="394"/>
      <c r="I9" s="394"/>
      <c r="J9" s="394"/>
      <c r="K9" s="394"/>
    </row>
    <row r="10" spans="1:11">
      <c r="A10" s="327" t="s">
        <v>788</v>
      </c>
      <c r="B10" s="328">
        <v>20</v>
      </c>
      <c r="C10" s="327">
        <v>20</v>
      </c>
      <c r="D10" s="327"/>
      <c r="E10" s="394"/>
      <c r="F10" s="394"/>
      <c r="G10" s="394"/>
      <c r="H10" s="394"/>
      <c r="I10" s="394"/>
      <c r="J10" s="394"/>
      <c r="K10" s="394"/>
    </row>
    <row r="11" spans="1:11">
      <c r="A11" s="327" t="s">
        <v>789</v>
      </c>
      <c r="B11" s="328">
        <v>20</v>
      </c>
      <c r="C11" s="327">
        <v>20</v>
      </c>
      <c r="D11" s="327"/>
      <c r="E11" s="394"/>
      <c r="F11" s="394"/>
      <c r="G11" s="394"/>
      <c r="H11" s="394"/>
      <c r="I11" s="394"/>
      <c r="J11" s="394"/>
      <c r="K11" s="394"/>
    </row>
    <row r="12" spans="1:11">
      <c r="A12" s="327" t="s">
        <v>790</v>
      </c>
      <c r="B12" s="328">
        <v>30</v>
      </c>
      <c r="C12" s="327">
        <v>30</v>
      </c>
      <c r="D12" s="327">
        <v>30</v>
      </c>
      <c r="E12" s="394"/>
      <c r="F12" s="394"/>
      <c r="G12" s="394"/>
      <c r="H12" s="394"/>
      <c r="I12" s="394"/>
      <c r="J12" s="394"/>
      <c r="K12" s="394"/>
    </row>
    <row r="13" spans="1:11">
      <c r="A13" s="327" t="s">
        <v>791</v>
      </c>
      <c r="B13" s="327">
        <v>0</v>
      </c>
      <c r="C13" s="327">
        <v>0</v>
      </c>
      <c r="D13" s="327"/>
      <c r="E13" s="394"/>
      <c r="F13" s="394"/>
      <c r="G13" s="394"/>
      <c r="H13" s="394"/>
      <c r="I13" s="394"/>
      <c r="J13" s="394"/>
      <c r="K13" s="394"/>
    </row>
    <row r="14" spans="1:11">
      <c r="A14" s="327" t="s">
        <v>792</v>
      </c>
      <c r="B14" s="327">
        <v>1.5</v>
      </c>
      <c r="C14" s="327">
        <v>1.5</v>
      </c>
      <c r="D14" s="327"/>
      <c r="E14" s="394"/>
      <c r="F14" s="394"/>
      <c r="G14" s="394"/>
      <c r="H14" s="394"/>
      <c r="I14" s="394"/>
      <c r="J14" s="394"/>
      <c r="K14" s="394"/>
    </row>
    <row r="15" spans="1:11">
      <c r="A15" s="327" t="s">
        <v>793</v>
      </c>
      <c r="B15" s="327">
        <v>-10</v>
      </c>
      <c r="C15" s="327"/>
      <c r="D15" s="327"/>
      <c r="E15" s="394"/>
      <c r="F15" s="394"/>
      <c r="G15" s="394"/>
      <c r="H15" s="394"/>
      <c r="I15" s="394"/>
      <c r="J15" s="394"/>
      <c r="K15" s="394"/>
    </row>
    <row r="16" spans="1:11">
      <c r="A16" s="327" t="s">
        <v>794</v>
      </c>
      <c r="B16" s="327">
        <v>0</v>
      </c>
      <c r="C16" s="327">
        <v>0</v>
      </c>
      <c r="D16" s="327"/>
      <c r="E16" s="394"/>
      <c r="F16" s="394"/>
      <c r="G16" s="394"/>
      <c r="H16" s="394"/>
      <c r="I16" s="394"/>
      <c r="J16" s="394"/>
      <c r="K16" s="394"/>
    </row>
    <row r="17" spans="1:11">
      <c r="A17" s="327" t="s">
        <v>795</v>
      </c>
      <c r="C17" s="327"/>
      <c r="D17" s="327">
        <v>500</v>
      </c>
      <c r="E17" s="394"/>
      <c r="F17" s="394"/>
      <c r="G17" s="394"/>
      <c r="H17" s="394"/>
      <c r="I17" s="394"/>
      <c r="J17" s="394"/>
      <c r="K17" s="394"/>
    </row>
    <row r="18" spans="1:11">
      <c r="A18" s="327" t="s">
        <v>796</v>
      </c>
      <c r="B18" s="327">
        <v>15</v>
      </c>
      <c r="C18" s="327">
        <v>10</v>
      </c>
      <c r="D18" s="327"/>
      <c r="E18" s="394"/>
      <c r="F18" s="394"/>
      <c r="G18" s="394"/>
      <c r="H18" s="394"/>
      <c r="I18" s="394"/>
      <c r="J18" s="394"/>
      <c r="K18" s="394"/>
    </row>
    <row r="19" spans="1:11">
      <c r="A19" s="327" t="s">
        <v>797</v>
      </c>
      <c r="B19" s="327">
        <v>0</v>
      </c>
      <c r="C19" s="327">
        <v>0</v>
      </c>
      <c r="D19" s="327"/>
      <c r="E19" s="394"/>
      <c r="F19" s="394"/>
      <c r="G19" s="394"/>
      <c r="H19" s="394"/>
      <c r="I19" s="394"/>
      <c r="J19" s="394"/>
      <c r="K19" s="394"/>
    </row>
  </sheetData>
  <phoneticPr fontId="40" type="noConversion"/>
  <pageMargins left="0.75" right="0.75" top="1" bottom="1" header="0.5" footer="0.5"/>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sheetPr codeName="Sheet5">
    <pageSetUpPr fitToPage="1"/>
  </sheetPr>
  <dimension ref="A1:AP490"/>
  <sheetViews>
    <sheetView workbookViewId="0">
      <pane xSplit="2" ySplit="9" topLeftCell="C10" activePane="bottomRight" state="frozen"/>
      <selection pane="topRight" activeCell="C1" sqref="C1"/>
      <selection pane="bottomLeft" activeCell="A10" sqref="A10"/>
      <selection pane="bottomRight"/>
    </sheetView>
  </sheetViews>
  <sheetFormatPr defaultRowHeight="12.75"/>
  <cols>
    <col min="1" max="1" width="6.42578125" style="38" customWidth="1"/>
    <col min="2" max="2" width="30.85546875" style="38" customWidth="1"/>
    <col min="3" max="3" width="12.42578125" style="55" customWidth="1"/>
    <col min="4" max="11" width="12.7109375" style="38" customWidth="1"/>
    <col min="12" max="15" width="11" style="70" customWidth="1"/>
    <col min="16" max="17" width="18.42578125" style="38" bestFit="1" customWidth="1"/>
    <col min="18" max="18" width="21" style="38" bestFit="1" customWidth="1"/>
    <col min="19" max="19" width="16.28515625" style="38" bestFit="1" customWidth="1"/>
    <col min="20" max="20" width="19" style="414" bestFit="1" customWidth="1"/>
    <col min="21" max="21" width="15.42578125" style="70" bestFit="1" customWidth="1"/>
    <col min="22" max="22" width="15.42578125" style="38" bestFit="1" customWidth="1"/>
    <col min="23" max="23" width="19.85546875" style="38" bestFit="1" customWidth="1"/>
    <col min="24" max="24" width="17.7109375" style="38" bestFit="1" customWidth="1"/>
    <col min="25" max="25" width="18.140625" style="70" bestFit="1" customWidth="1"/>
    <col min="26" max="27" width="18.42578125" style="38" bestFit="1" customWidth="1"/>
    <col min="28" max="28" width="21" style="38" bestFit="1" customWidth="1"/>
    <col min="29" max="29" width="16.28515625" style="38" bestFit="1" customWidth="1"/>
    <col min="30" max="30" width="14.140625" style="414" bestFit="1" customWidth="1"/>
    <col min="31" max="31" width="14.7109375" style="38" customWidth="1"/>
    <col min="32" max="32" width="13.42578125" style="38" bestFit="1" customWidth="1"/>
    <col min="33" max="33" width="18.7109375" style="38" bestFit="1" customWidth="1"/>
    <col min="34" max="34" width="17.7109375" style="38" bestFit="1" customWidth="1"/>
    <col min="35" max="35" width="15" style="70" bestFit="1" customWidth="1"/>
    <col min="36" max="36" width="11.28515625" style="38" bestFit="1" customWidth="1"/>
    <col min="37" max="37" width="12.7109375" style="70" bestFit="1" customWidth="1"/>
    <col min="38" max="38" width="9.28515625" style="38" bestFit="1" customWidth="1"/>
    <col min="39" max="39" width="11.28515625" style="38" bestFit="1" customWidth="1"/>
    <col min="40" max="40" width="9.140625" style="81"/>
    <col min="41" max="41" width="15" bestFit="1" customWidth="1"/>
    <col min="42" max="42" width="12.28515625" bestFit="1" customWidth="1"/>
  </cols>
  <sheetData>
    <row r="1" spans="1:42">
      <c r="A1" s="51"/>
      <c r="B1" s="52"/>
      <c r="C1" s="387"/>
      <c r="D1" s="51"/>
      <c r="E1" s="52"/>
      <c r="F1" s="52"/>
      <c r="G1" s="52"/>
      <c r="H1" s="52"/>
      <c r="I1" s="52"/>
      <c r="J1" s="52"/>
      <c r="K1" s="52"/>
      <c r="L1" s="68"/>
      <c r="M1" s="68"/>
      <c r="N1" s="68"/>
      <c r="O1" s="68"/>
      <c r="P1" s="52"/>
      <c r="Q1" s="52"/>
      <c r="R1" s="52"/>
      <c r="S1" s="52"/>
      <c r="T1" s="409"/>
      <c r="U1" s="68"/>
      <c r="V1" s="52"/>
      <c r="W1" s="52"/>
      <c r="X1" s="52"/>
      <c r="Y1" s="68"/>
      <c r="Z1" s="52"/>
      <c r="AA1" s="52"/>
      <c r="AB1" s="52"/>
      <c r="AC1" s="52"/>
      <c r="AD1" s="409"/>
      <c r="AE1" s="52"/>
      <c r="AF1" s="52"/>
      <c r="AG1" s="52"/>
      <c r="AH1" s="52"/>
      <c r="AI1" s="68"/>
      <c r="AJ1" s="52"/>
      <c r="AK1" s="68"/>
      <c r="AL1" s="52"/>
      <c r="AM1" s="387"/>
    </row>
    <row r="2" spans="1:42">
      <c r="A2" s="27">
        <v>1</v>
      </c>
      <c r="B2" s="53">
        <v>2</v>
      </c>
      <c r="C2" s="388">
        <v>3</v>
      </c>
      <c r="D2" s="54">
        <v>4</v>
      </c>
      <c r="E2" s="53">
        <v>5</v>
      </c>
      <c r="F2" s="53">
        <v>6</v>
      </c>
      <c r="G2" s="53">
        <v>7</v>
      </c>
      <c r="H2" s="53">
        <v>8</v>
      </c>
      <c r="I2" s="53">
        <v>9</v>
      </c>
      <c r="J2" s="53">
        <v>10</v>
      </c>
      <c r="K2" s="53">
        <v>11</v>
      </c>
      <c r="L2" s="69">
        <v>12</v>
      </c>
      <c r="M2" s="69">
        <v>13</v>
      </c>
      <c r="N2" s="69">
        <v>14</v>
      </c>
      <c r="O2" s="69">
        <v>15</v>
      </c>
      <c r="P2" s="53">
        <v>16</v>
      </c>
      <c r="Q2" s="53">
        <v>17</v>
      </c>
      <c r="R2" s="53">
        <v>18</v>
      </c>
      <c r="S2" s="53">
        <v>19</v>
      </c>
      <c r="T2" s="69">
        <v>20</v>
      </c>
      <c r="U2" s="69">
        <v>21</v>
      </c>
      <c r="V2" s="53">
        <v>22</v>
      </c>
      <c r="W2" s="53">
        <v>23</v>
      </c>
      <c r="X2" s="53">
        <v>24</v>
      </c>
      <c r="Y2" s="69">
        <v>25</v>
      </c>
      <c r="Z2" s="53">
        <v>26</v>
      </c>
      <c r="AA2" s="53">
        <v>27</v>
      </c>
      <c r="AB2" s="53">
        <v>28</v>
      </c>
      <c r="AC2" s="53">
        <v>29</v>
      </c>
      <c r="AD2" s="69">
        <v>30</v>
      </c>
      <c r="AE2" s="53">
        <v>31</v>
      </c>
      <c r="AF2" s="53">
        <v>32</v>
      </c>
      <c r="AG2" s="53">
        <v>33</v>
      </c>
      <c r="AH2" s="53">
        <v>34</v>
      </c>
      <c r="AI2" s="69">
        <v>35</v>
      </c>
      <c r="AJ2" s="53">
        <v>36</v>
      </c>
      <c r="AK2" s="69">
        <v>37</v>
      </c>
      <c r="AL2" s="53">
        <v>38</v>
      </c>
      <c r="AM2" s="388">
        <v>39</v>
      </c>
    </row>
    <row r="3" spans="1:42">
      <c r="A3" s="54"/>
      <c r="B3" s="53"/>
      <c r="C3" s="388"/>
      <c r="D3" s="54"/>
      <c r="E3" s="53"/>
      <c r="F3" s="53"/>
      <c r="G3" s="53"/>
      <c r="H3" s="53"/>
      <c r="I3" s="53"/>
      <c r="J3" s="53"/>
      <c r="K3" s="53"/>
      <c r="L3" s="69"/>
      <c r="M3" s="69"/>
      <c r="N3" s="69"/>
      <c r="O3" s="69"/>
      <c r="P3" s="53"/>
      <c r="Q3" s="53"/>
      <c r="R3" s="53"/>
      <c r="S3" s="53"/>
      <c r="T3" s="410"/>
      <c r="U3" s="69"/>
      <c r="V3" s="53"/>
      <c r="W3" s="53"/>
      <c r="X3" s="53"/>
      <c r="Y3" s="69"/>
      <c r="Z3" s="53"/>
      <c r="AA3" s="53"/>
      <c r="AB3" s="53"/>
      <c r="AC3" s="53"/>
      <c r="AD3" s="410"/>
      <c r="AE3" s="53"/>
      <c r="AF3" s="53"/>
      <c r="AG3" s="53"/>
      <c r="AH3" s="53"/>
      <c r="AI3" s="69"/>
      <c r="AJ3" s="53"/>
      <c r="AK3" s="69"/>
      <c r="AL3" s="53"/>
      <c r="AM3" s="388"/>
    </row>
    <row r="4" spans="1:42" ht="18">
      <c r="A4" s="54"/>
      <c r="B4" s="53"/>
      <c r="C4" s="388"/>
      <c r="D4" s="722"/>
      <c r="E4" s="723"/>
      <c r="F4" s="723"/>
      <c r="G4" s="723"/>
      <c r="H4" s="723"/>
      <c r="I4" s="723"/>
      <c r="J4" s="723"/>
      <c r="K4" s="723"/>
      <c r="L4" s="723"/>
      <c r="M4" s="723"/>
      <c r="N4" s="723"/>
      <c r="O4" s="723"/>
      <c r="P4" s="723"/>
      <c r="Q4" s="723"/>
      <c r="R4" s="723"/>
      <c r="S4" s="723"/>
      <c r="T4" s="723"/>
      <c r="U4" s="723"/>
      <c r="V4" s="723"/>
      <c r="W4" s="723"/>
      <c r="X4" s="723"/>
      <c r="Y4" s="723"/>
      <c r="Z4" s="723"/>
      <c r="AA4" s="723"/>
      <c r="AB4" s="723"/>
      <c r="AC4" s="723"/>
      <c r="AD4" s="723"/>
      <c r="AE4" s="723"/>
      <c r="AF4" s="723"/>
      <c r="AG4" s="723"/>
      <c r="AH4" s="723"/>
      <c r="AI4" s="723"/>
      <c r="AJ4" s="723"/>
      <c r="AK4" s="723"/>
      <c r="AL4" s="723"/>
      <c r="AM4" s="724"/>
    </row>
    <row r="5" spans="1:42">
      <c r="A5" s="54"/>
      <c r="B5" s="53"/>
      <c r="C5" s="388"/>
      <c r="D5" s="54"/>
      <c r="E5" s="53"/>
      <c r="F5" s="53"/>
      <c r="G5" s="53"/>
      <c r="H5" s="53"/>
      <c r="I5" s="53"/>
      <c r="J5" s="53"/>
      <c r="K5" s="53"/>
      <c r="L5" s="69"/>
      <c r="M5" s="69"/>
      <c r="N5" s="69"/>
      <c r="O5" s="69"/>
      <c r="P5" s="728" t="s">
        <v>910</v>
      </c>
      <c r="Q5" s="729"/>
      <c r="R5" s="729"/>
      <c r="S5" s="729"/>
      <c r="T5" s="729"/>
      <c r="U5" s="729"/>
      <c r="V5" s="729"/>
      <c r="W5" s="729"/>
      <c r="X5" s="729"/>
      <c r="Y5" s="730"/>
      <c r="Z5" s="728" t="s">
        <v>916</v>
      </c>
      <c r="AA5" s="729"/>
      <c r="AB5" s="729"/>
      <c r="AC5" s="729"/>
      <c r="AD5" s="729"/>
      <c r="AE5" s="729"/>
      <c r="AF5" s="729"/>
      <c r="AG5" s="729"/>
      <c r="AH5" s="730"/>
      <c r="AI5" s="69"/>
      <c r="AJ5" s="53"/>
      <c r="AK5" s="69"/>
      <c r="AL5" s="53"/>
      <c r="AM5" s="388"/>
    </row>
    <row r="6" spans="1:42">
      <c r="A6" s="54"/>
      <c r="B6" s="53"/>
      <c r="C6" s="388"/>
      <c r="D6" s="54"/>
      <c r="E6" s="53"/>
      <c r="F6" s="53"/>
      <c r="G6" s="53"/>
      <c r="H6" s="53"/>
      <c r="I6" s="53"/>
      <c r="J6" s="53"/>
      <c r="K6" s="53"/>
      <c r="L6" s="69"/>
      <c r="M6" s="69"/>
      <c r="N6" s="69"/>
      <c r="O6" s="69"/>
      <c r="P6" s="28" t="s">
        <v>19</v>
      </c>
      <c r="Q6" s="28" t="s">
        <v>20</v>
      </c>
      <c r="R6" s="28" t="s">
        <v>911</v>
      </c>
      <c r="S6" s="28" t="s">
        <v>21</v>
      </c>
      <c r="T6" s="411" t="s">
        <v>22</v>
      </c>
      <c r="U6" s="149" t="s">
        <v>23</v>
      </c>
      <c r="V6" s="28" t="s">
        <v>23</v>
      </c>
      <c r="W6" s="28" t="s">
        <v>24</v>
      </c>
      <c r="X6" s="142" t="s">
        <v>25</v>
      </c>
      <c r="Y6" s="453" t="s">
        <v>26</v>
      </c>
      <c r="Z6" s="28" t="s">
        <v>19</v>
      </c>
      <c r="AA6" s="28" t="s">
        <v>20</v>
      </c>
      <c r="AB6" s="28" t="s">
        <v>911</v>
      </c>
      <c r="AC6" s="28" t="s">
        <v>21</v>
      </c>
      <c r="AD6" s="411" t="s">
        <v>27</v>
      </c>
      <c r="AE6" s="28" t="s">
        <v>23</v>
      </c>
      <c r="AF6" s="28" t="s">
        <v>23</v>
      </c>
      <c r="AG6" s="28" t="s">
        <v>24</v>
      </c>
      <c r="AH6" s="28" t="s">
        <v>28</v>
      </c>
      <c r="AI6" s="69"/>
      <c r="AJ6" s="56" t="s">
        <v>841</v>
      </c>
      <c r="AK6" s="56" t="s">
        <v>841</v>
      </c>
      <c r="AL6" s="56" t="s">
        <v>841</v>
      </c>
      <c r="AM6" s="388"/>
    </row>
    <row r="7" spans="1:42">
      <c r="A7" s="54"/>
      <c r="B7" s="53"/>
      <c r="C7" s="388"/>
      <c r="D7" s="718" t="s">
        <v>907</v>
      </c>
      <c r="E7" s="719"/>
      <c r="F7" s="719"/>
      <c r="G7" s="720"/>
      <c r="H7" s="721" t="s">
        <v>908</v>
      </c>
      <c r="I7" s="719"/>
      <c r="J7" s="719"/>
      <c r="K7" s="720"/>
      <c r="L7" s="725" t="s">
        <v>909</v>
      </c>
      <c r="M7" s="726"/>
      <c r="N7" s="726"/>
      <c r="O7" s="727"/>
      <c r="P7" s="56" t="s">
        <v>29</v>
      </c>
      <c r="Q7" s="56" t="s">
        <v>30</v>
      </c>
      <c r="R7" s="56" t="s">
        <v>31</v>
      </c>
      <c r="S7" s="56" t="s">
        <v>912</v>
      </c>
      <c r="T7" s="412" t="s">
        <v>32</v>
      </c>
      <c r="U7" s="148" t="s">
        <v>33</v>
      </c>
      <c r="V7" s="56" t="s">
        <v>913</v>
      </c>
      <c r="W7" s="56" t="s">
        <v>801</v>
      </c>
      <c r="X7" s="143" t="s">
        <v>915</v>
      </c>
      <c r="Y7" s="454" t="s">
        <v>34</v>
      </c>
      <c r="Z7" s="56" t="s">
        <v>29</v>
      </c>
      <c r="AA7" s="56" t="s">
        <v>30</v>
      </c>
      <c r="AB7" s="56" t="s">
        <v>35</v>
      </c>
      <c r="AC7" s="28" t="s">
        <v>917</v>
      </c>
      <c r="AD7" s="412" t="s">
        <v>32</v>
      </c>
      <c r="AE7" s="56" t="s">
        <v>33</v>
      </c>
      <c r="AF7" s="56" t="s">
        <v>917</v>
      </c>
      <c r="AG7" s="56" t="s">
        <v>803</v>
      </c>
      <c r="AH7" s="56" t="s">
        <v>915</v>
      </c>
      <c r="AI7" s="148" t="s">
        <v>36</v>
      </c>
      <c r="AJ7" s="56" t="s">
        <v>838</v>
      </c>
      <c r="AK7" s="148" t="s">
        <v>838</v>
      </c>
      <c r="AL7" s="56" t="s">
        <v>838</v>
      </c>
      <c r="AM7" s="557" t="s">
        <v>842</v>
      </c>
    </row>
    <row r="8" spans="1:42">
      <c r="A8" s="29" t="s">
        <v>37</v>
      </c>
      <c r="B8" s="30" t="s">
        <v>38</v>
      </c>
      <c r="C8" s="389" t="s">
        <v>39</v>
      </c>
      <c r="D8" s="558" t="s">
        <v>40</v>
      </c>
      <c r="E8" s="56" t="s">
        <v>41</v>
      </c>
      <c r="F8" s="56" t="s">
        <v>42</v>
      </c>
      <c r="G8" s="56" t="s">
        <v>43</v>
      </c>
      <c r="H8" s="520" t="s">
        <v>40</v>
      </c>
      <c r="I8" s="521" t="s">
        <v>41</v>
      </c>
      <c r="J8" s="521" t="s">
        <v>44</v>
      </c>
      <c r="K8" s="522" t="s">
        <v>43</v>
      </c>
      <c r="L8" s="527" t="s">
        <v>40</v>
      </c>
      <c r="M8" s="148" t="s">
        <v>41</v>
      </c>
      <c r="N8" s="149" t="s">
        <v>44</v>
      </c>
      <c r="O8" s="528" t="s">
        <v>43</v>
      </c>
      <c r="P8" s="28" t="s">
        <v>837</v>
      </c>
      <c r="Q8" s="28" t="s">
        <v>837</v>
      </c>
      <c r="R8" s="28" t="s">
        <v>837</v>
      </c>
      <c r="S8" s="28" t="s">
        <v>837</v>
      </c>
      <c r="T8" s="28" t="s">
        <v>837</v>
      </c>
      <c r="U8" s="148" t="s">
        <v>45</v>
      </c>
      <c r="V8" s="28" t="s">
        <v>46</v>
      </c>
      <c r="W8" s="28" t="s">
        <v>914</v>
      </c>
      <c r="X8" s="142"/>
      <c r="Y8" s="455" t="s">
        <v>914</v>
      </c>
      <c r="Z8" s="28" t="s">
        <v>837</v>
      </c>
      <c r="AA8" s="28" t="s">
        <v>837</v>
      </c>
      <c r="AB8" s="28" t="s">
        <v>914</v>
      </c>
      <c r="AC8" s="28"/>
      <c r="AD8" s="412" t="s">
        <v>837</v>
      </c>
      <c r="AE8" s="56" t="s">
        <v>48</v>
      </c>
      <c r="AF8" s="28" t="s">
        <v>689</v>
      </c>
      <c r="AG8" s="28" t="s">
        <v>918</v>
      </c>
      <c r="AH8" s="28"/>
      <c r="AI8" s="149" t="s">
        <v>919</v>
      </c>
      <c r="AJ8" s="151" t="s">
        <v>864</v>
      </c>
      <c r="AK8" s="417" t="s">
        <v>864</v>
      </c>
      <c r="AL8" s="151" t="s">
        <v>864</v>
      </c>
      <c r="AM8" s="557"/>
    </row>
    <row r="9" spans="1:42" ht="13.5" thickBot="1">
      <c r="A9" s="54"/>
      <c r="B9" s="53"/>
      <c r="C9" s="388"/>
      <c r="D9" s="559" t="s">
        <v>10</v>
      </c>
      <c r="E9" s="67" t="s">
        <v>10</v>
      </c>
      <c r="F9" s="67" t="s">
        <v>10</v>
      </c>
      <c r="G9" s="67" t="s">
        <v>10</v>
      </c>
      <c r="H9" s="523" t="s">
        <v>10</v>
      </c>
      <c r="I9" s="67" t="s">
        <v>10</v>
      </c>
      <c r="J9" s="67" t="s">
        <v>10</v>
      </c>
      <c r="K9" s="524" t="s">
        <v>10</v>
      </c>
      <c r="L9" s="529" t="s">
        <v>10</v>
      </c>
      <c r="M9" s="415" t="s">
        <v>10</v>
      </c>
      <c r="N9" s="415" t="s">
        <v>10</v>
      </c>
      <c r="O9" s="530" t="s">
        <v>10</v>
      </c>
      <c r="P9" s="67"/>
      <c r="Q9" s="28"/>
      <c r="R9" s="28"/>
      <c r="S9" s="28"/>
      <c r="T9" s="411"/>
      <c r="U9" s="149"/>
      <c r="V9" s="253">
        <v>41365</v>
      </c>
      <c r="W9" s="254" t="s">
        <v>802</v>
      </c>
      <c r="X9" s="142"/>
      <c r="Y9" s="456"/>
      <c r="Z9" s="28"/>
      <c r="AA9" s="28"/>
      <c r="AB9" s="28"/>
      <c r="AC9" s="28"/>
      <c r="AD9" s="411"/>
      <c r="AE9" s="28"/>
      <c r="AF9" s="28" t="s">
        <v>914</v>
      </c>
      <c r="AG9" s="253" t="s">
        <v>804</v>
      </c>
      <c r="AH9" s="28" t="s">
        <v>47</v>
      </c>
      <c r="AI9" s="149"/>
      <c r="AJ9" s="28" t="s">
        <v>49</v>
      </c>
      <c r="AK9" s="149" t="s">
        <v>50</v>
      </c>
      <c r="AL9" s="28" t="s">
        <v>51</v>
      </c>
      <c r="AM9" s="560"/>
    </row>
    <row r="10" spans="1:42" ht="13.5" thickBot="1">
      <c r="A10" s="255"/>
      <c r="B10" s="256"/>
      <c r="C10" s="390"/>
      <c r="D10" s="561"/>
      <c r="E10" s="257"/>
      <c r="F10" s="257"/>
      <c r="G10" s="257"/>
      <c r="H10" s="525"/>
      <c r="I10" s="257"/>
      <c r="J10" s="257"/>
      <c r="K10" s="526"/>
      <c r="L10" s="531"/>
      <c r="M10" s="416"/>
      <c r="N10" s="416"/>
      <c r="O10" s="532"/>
      <c r="P10" s="258" t="s">
        <v>717</v>
      </c>
      <c r="Q10" s="259" t="s">
        <v>718</v>
      </c>
      <c r="R10" s="259" t="s">
        <v>719</v>
      </c>
      <c r="S10" s="259" t="s">
        <v>720</v>
      </c>
      <c r="T10" s="413" t="s">
        <v>721</v>
      </c>
      <c r="U10" s="261" t="s">
        <v>722</v>
      </c>
      <c r="V10" s="260" t="s">
        <v>723</v>
      </c>
      <c r="W10" s="260" t="s">
        <v>724</v>
      </c>
      <c r="X10" s="259" t="s">
        <v>725</v>
      </c>
      <c r="Y10" s="457" t="s">
        <v>726</v>
      </c>
      <c r="Z10" s="258" t="s">
        <v>717</v>
      </c>
      <c r="AA10" s="259" t="s">
        <v>718</v>
      </c>
      <c r="AB10" s="259" t="s">
        <v>719</v>
      </c>
      <c r="AC10" s="259" t="s">
        <v>720</v>
      </c>
      <c r="AD10" s="413" t="s">
        <v>721</v>
      </c>
      <c r="AE10" s="259" t="s">
        <v>722</v>
      </c>
      <c r="AF10" s="260" t="s">
        <v>723</v>
      </c>
      <c r="AG10" s="260" t="s">
        <v>724</v>
      </c>
      <c r="AH10" s="259" t="s">
        <v>725</v>
      </c>
      <c r="AI10" s="261" t="s">
        <v>771</v>
      </c>
      <c r="AJ10" s="259" t="s">
        <v>725</v>
      </c>
      <c r="AK10" s="261" t="s">
        <v>832</v>
      </c>
      <c r="AL10" s="259" t="s">
        <v>831</v>
      </c>
      <c r="AM10" s="562"/>
    </row>
    <row r="11" spans="1:42" ht="13.5" thickBot="1">
      <c r="A11" s="483"/>
      <c r="B11" s="470"/>
      <c r="C11" s="492"/>
      <c r="D11" s="552" t="s">
        <v>52</v>
      </c>
      <c r="E11" s="493" t="s">
        <v>52</v>
      </c>
      <c r="F11" s="552" t="s">
        <v>52</v>
      </c>
      <c r="G11" s="493"/>
      <c r="H11" s="552" t="s">
        <v>52</v>
      </c>
      <c r="I11" s="495" t="s">
        <v>52</v>
      </c>
      <c r="J11" s="554" t="s">
        <v>52</v>
      </c>
      <c r="K11" s="517"/>
      <c r="L11" s="497"/>
      <c r="M11" s="555"/>
      <c r="N11" s="496"/>
      <c r="O11" s="496"/>
      <c r="P11" s="498"/>
      <c r="Q11" s="496"/>
      <c r="R11" s="499"/>
      <c r="S11" s="496"/>
      <c r="T11" s="500"/>
      <c r="U11" s="496"/>
      <c r="V11" s="499"/>
      <c r="W11" s="496"/>
      <c r="X11" s="499"/>
      <c r="Y11" s="496"/>
      <c r="Z11" s="501"/>
      <c r="AA11" s="495"/>
      <c r="AB11" s="494"/>
      <c r="AC11" s="495"/>
      <c r="AD11" s="502"/>
      <c r="AE11" s="495"/>
      <c r="AF11" s="494"/>
      <c r="AG11" s="495"/>
      <c r="AH11" s="494"/>
      <c r="AI11" s="496"/>
      <c r="AJ11" s="499"/>
      <c r="AK11" s="496" t="s">
        <v>52</v>
      </c>
      <c r="AL11" s="497" t="s">
        <v>52</v>
      </c>
      <c r="AM11" s="496" t="s">
        <v>52</v>
      </c>
    </row>
    <row r="12" spans="1:42">
      <c r="A12" s="471">
        <v>1</v>
      </c>
      <c r="B12" s="480" t="s">
        <v>53</v>
      </c>
      <c r="C12" s="472" t="s">
        <v>54</v>
      </c>
      <c r="D12" s="553">
        <v>9150</v>
      </c>
      <c r="E12" s="549">
        <v>9020</v>
      </c>
      <c r="F12" s="553">
        <v>9085</v>
      </c>
      <c r="G12" s="549">
        <f>SUM(D12:F12)</f>
        <v>27255</v>
      </c>
      <c r="H12" s="553">
        <v>4877</v>
      </c>
      <c r="I12" s="549">
        <v>5008</v>
      </c>
      <c r="J12" s="553">
        <v>4306</v>
      </c>
      <c r="K12" s="550">
        <f>SUM(H12:J12)</f>
        <v>14191</v>
      </c>
      <c r="L12" s="549">
        <v>0</v>
      </c>
      <c r="M12" s="553">
        <v>0</v>
      </c>
      <c r="N12" s="549">
        <v>0</v>
      </c>
      <c r="O12" s="518">
        <f>SUM(L12:N12)</f>
        <v>0</v>
      </c>
      <c r="P12" s="549">
        <v>31041</v>
      </c>
      <c r="Q12" s="550">
        <v>585</v>
      </c>
      <c r="R12" s="549">
        <v>29747</v>
      </c>
      <c r="S12" s="550">
        <v>30332</v>
      </c>
      <c r="T12" s="556">
        <v>97.72</v>
      </c>
      <c r="U12" s="550">
        <v>521</v>
      </c>
      <c r="V12" s="549">
        <v>566</v>
      </c>
      <c r="W12" s="550">
        <v>30834</v>
      </c>
      <c r="X12" s="549">
        <v>4104</v>
      </c>
      <c r="Y12" s="550">
        <v>0</v>
      </c>
      <c r="Z12" s="549">
        <v>15305</v>
      </c>
      <c r="AA12" s="550">
        <v>179</v>
      </c>
      <c r="AB12" s="549">
        <v>14619</v>
      </c>
      <c r="AC12" s="550">
        <v>14798</v>
      </c>
      <c r="AD12" s="556">
        <v>96.69</v>
      </c>
      <c r="AE12" s="550">
        <v>-39</v>
      </c>
      <c r="AF12" s="549">
        <v>733</v>
      </c>
      <c r="AG12" s="550">
        <v>15313</v>
      </c>
      <c r="AH12" s="549">
        <v>1721</v>
      </c>
      <c r="AI12" s="550">
        <v>15798990.84</v>
      </c>
      <c r="AJ12" s="549">
        <v>23531.599999999999</v>
      </c>
      <c r="AK12" s="550">
        <v>0</v>
      </c>
      <c r="AL12" s="549">
        <v>1593.01</v>
      </c>
      <c r="AM12" s="473">
        <f>((AJ12+AK12)*AL12)/1000</f>
        <v>37486.074115999996</v>
      </c>
      <c r="AN12" s="141"/>
      <c r="AO12" s="566"/>
      <c r="AP12" s="567"/>
    </row>
    <row r="13" spans="1:42">
      <c r="A13" s="471">
        <v>2</v>
      </c>
      <c r="B13" s="481" t="s">
        <v>55</v>
      </c>
      <c r="C13" s="472" t="s">
        <v>56</v>
      </c>
      <c r="D13" s="550">
        <v>13178</v>
      </c>
      <c r="E13" s="549">
        <v>13010</v>
      </c>
      <c r="F13" s="550">
        <v>12860</v>
      </c>
      <c r="G13" s="549">
        <f t="shared" ref="G13:G76" si="0">SUM(D13:F13)</f>
        <v>39048</v>
      </c>
      <c r="H13" s="550">
        <v>8743</v>
      </c>
      <c r="I13" s="549">
        <v>7858</v>
      </c>
      <c r="J13" s="550">
        <v>7437</v>
      </c>
      <c r="K13" s="550">
        <f t="shared" ref="K13:K76" si="1">SUM(H13:J13)</f>
        <v>24038</v>
      </c>
      <c r="L13" s="549">
        <v>0</v>
      </c>
      <c r="M13" s="550">
        <v>0</v>
      </c>
      <c r="N13" s="549">
        <v>0</v>
      </c>
      <c r="O13" s="518">
        <f t="shared" ref="O13:O76" si="2">SUM(L13:N13)</f>
        <v>0</v>
      </c>
      <c r="P13" s="549">
        <v>43442</v>
      </c>
      <c r="Q13" s="550">
        <v>358</v>
      </c>
      <c r="R13" s="549">
        <v>42063</v>
      </c>
      <c r="S13" s="550">
        <v>42421</v>
      </c>
      <c r="T13" s="556">
        <v>97.65</v>
      </c>
      <c r="U13" s="550">
        <v>754</v>
      </c>
      <c r="V13" s="549">
        <v>635</v>
      </c>
      <c r="W13" s="550">
        <v>43452</v>
      </c>
      <c r="X13" s="549">
        <v>6274</v>
      </c>
      <c r="Y13" s="550">
        <v>0</v>
      </c>
      <c r="Z13" s="549">
        <v>26258</v>
      </c>
      <c r="AA13" s="550">
        <v>109</v>
      </c>
      <c r="AB13" s="549">
        <v>25518</v>
      </c>
      <c r="AC13" s="550">
        <v>25627</v>
      </c>
      <c r="AD13" s="556">
        <v>97.6</v>
      </c>
      <c r="AE13" s="550">
        <v>-350</v>
      </c>
      <c r="AF13" s="549">
        <v>95</v>
      </c>
      <c r="AG13" s="550">
        <v>25263</v>
      </c>
      <c r="AH13" s="549">
        <v>2554</v>
      </c>
      <c r="AI13" s="550">
        <v>27254631.779999997</v>
      </c>
      <c r="AJ13" s="549">
        <v>33602.21</v>
      </c>
      <c r="AK13" s="550">
        <v>0</v>
      </c>
      <c r="AL13" s="549">
        <v>1569.31</v>
      </c>
      <c r="AM13" s="473">
        <f t="shared" ref="AM13:AM76" si="3">((AJ13+AK13)*AL13)/1000</f>
        <v>52732.284175100001</v>
      </c>
      <c r="AN13" s="141"/>
      <c r="AO13" s="566"/>
      <c r="AP13" s="567"/>
    </row>
    <row r="14" spans="1:42">
      <c r="A14" s="471">
        <v>3</v>
      </c>
      <c r="B14" s="481" t="s">
        <v>57</v>
      </c>
      <c r="C14" s="472" t="s">
        <v>58</v>
      </c>
      <c r="D14" s="550">
        <v>16470</v>
      </c>
      <c r="E14" s="549">
        <v>16000</v>
      </c>
      <c r="F14" s="550">
        <v>16122</v>
      </c>
      <c r="G14" s="549">
        <f t="shared" si="0"/>
        <v>48592</v>
      </c>
      <c r="H14" s="550">
        <v>8679</v>
      </c>
      <c r="I14" s="549">
        <v>10280</v>
      </c>
      <c r="J14" s="550">
        <v>8496</v>
      </c>
      <c r="K14" s="550">
        <f t="shared" si="1"/>
        <v>27455</v>
      </c>
      <c r="L14" s="549">
        <v>0</v>
      </c>
      <c r="M14" s="550">
        <v>0</v>
      </c>
      <c r="N14" s="549">
        <v>0</v>
      </c>
      <c r="O14" s="518">
        <f t="shared" si="2"/>
        <v>0</v>
      </c>
      <c r="P14" s="549">
        <v>53850</v>
      </c>
      <c r="Q14" s="550">
        <v>932</v>
      </c>
      <c r="R14" s="549">
        <v>52299</v>
      </c>
      <c r="S14" s="550">
        <v>53231</v>
      </c>
      <c r="T14" s="556">
        <v>98.85</v>
      </c>
      <c r="U14" s="550">
        <v>470</v>
      </c>
      <c r="V14" s="549">
        <v>926</v>
      </c>
      <c r="W14" s="550">
        <v>53695</v>
      </c>
      <c r="X14" s="549">
        <v>6699</v>
      </c>
      <c r="Y14" s="550">
        <v>0</v>
      </c>
      <c r="Z14" s="549">
        <v>30029</v>
      </c>
      <c r="AA14" s="550">
        <v>205</v>
      </c>
      <c r="AB14" s="549">
        <v>29523</v>
      </c>
      <c r="AC14" s="550">
        <v>29728</v>
      </c>
      <c r="AD14" s="556">
        <v>99</v>
      </c>
      <c r="AE14" s="550">
        <v>-700</v>
      </c>
      <c r="AF14" s="549">
        <v>200</v>
      </c>
      <c r="AG14" s="550">
        <v>29023</v>
      </c>
      <c r="AH14" s="549">
        <v>2548</v>
      </c>
      <c r="AI14" s="550">
        <v>30662929.41</v>
      </c>
      <c r="AJ14" s="549">
        <v>41761.79</v>
      </c>
      <c r="AK14" s="550">
        <v>1.2</v>
      </c>
      <c r="AL14" s="549">
        <v>1504.58</v>
      </c>
      <c r="AM14" s="473">
        <f t="shared" si="3"/>
        <v>62835.759494199992</v>
      </c>
      <c r="AN14" s="141"/>
      <c r="AO14" s="566"/>
      <c r="AP14" s="567"/>
    </row>
    <row r="15" spans="1:42">
      <c r="A15" s="471">
        <v>4</v>
      </c>
      <c r="B15" s="481" t="s">
        <v>59</v>
      </c>
      <c r="C15" s="472" t="s">
        <v>60</v>
      </c>
      <c r="D15" s="550">
        <v>24993</v>
      </c>
      <c r="E15" s="549">
        <v>24094</v>
      </c>
      <c r="F15" s="550">
        <v>24487</v>
      </c>
      <c r="G15" s="549">
        <f t="shared" si="0"/>
        <v>73574</v>
      </c>
      <c r="H15" s="550">
        <v>9378</v>
      </c>
      <c r="I15" s="549">
        <v>10269</v>
      </c>
      <c r="J15" s="550">
        <v>8960</v>
      </c>
      <c r="K15" s="550">
        <f t="shared" si="1"/>
        <v>28607</v>
      </c>
      <c r="L15" s="549">
        <v>0</v>
      </c>
      <c r="M15" s="550">
        <v>0</v>
      </c>
      <c r="N15" s="549">
        <v>0</v>
      </c>
      <c r="O15" s="518">
        <f t="shared" si="2"/>
        <v>0</v>
      </c>
      <c r="P15" s="549">
        <v>83235</v>
      </c>
      <c r="Q15" s="550">
        <v>541</v>
      </c>
      <c r="R15" s="549">
        <v>81151</v>
      </c>
      <c r="S15" s="550">
        <v>81692</v>
      </c>
      <c r="T15" s="556">
        <v>98.15</v>
      </c>
      <c r="U15" s="550">
        <v>1005</v>
      </c>
      <c r="V15" s="549">
        <v>427</v>
      </c>
      <c r="W15" s="550">
        <v>82583</v>
      </c>
      <c r="X15" s="549">
        <v>10066</v>
      </c>
      <c r="Y15" s="550">
        <v>0</v>
      </c>
      <c r="Z15" s="549">
        <v>30759</v>
      </c>
      <c r="AA15" s="550">
        <v>85</v>
      </c>
      <c r="AB15" s="549">
        <v>30295</v>
      </c>
      <c r="AC15" s="550">
        <v>30380</v>
      </c>
      <c r="AD15" s="556">
        <v>98.77</v>
      </c>
      <c r="AE15" s="550">
        <v>-704</v>
      </c>
      <c r="AF15" s="549">
        <v>161</v>
      </c>
      <c r="AG15" s="550">
        <v>29752</v>
      </c>
      <c r="AH15" s="549">
        <v>4421</v>
      </c>
      <c r="AI15" s="550">
        <v>31114922.239999998</v>
      </c>
      <c r="AJ15" s="549">
        <v>63548.7</v>
      </c>
      <c r="AK15" s="550">
        <v>0</v>
      </c>
      <c r="AL15" s="549">
        <v>1522.01</v>
      </c>
      <c r="AM15" s="473">
        <f t="shared" si="3"/>
        <v>96721.756886999996</v>
      </c>
      <c r="AN15" s="141"/>
      <c r="AO15" s="566"/>
      <c r="AP15" s="567"/>
    </row>
    <row r="16" spans="1:42">
      <c r="A16" s="471">
        <v>5</v>
      </c>
      <c r="B16" s="481" t="s">
        <v>61</v>
      </c>
      <c r="C16" s="472" t="s">
        <v>62</v>
      </c>
      <c r="D16" s="550">
        <v>14064</v>
      </c>
      <c r="E16" s="549">
        <v>13681</v>
      </c>
      <c r="F16" s="550">
        <v>13584</v>
      </c>
      <c r="G16" s="549">
        <f t="shared" si="0"/>
        <v>41329</v>
      </c>
      <c r="H16" s="550">
        <v>9175</v>
      </c>
      <c r="I16" s="549">
        <v>9170</v>
      </c>
      <c r="J16" s="550">
        <v>9843</v>
      </c>
      <c r="K16" s="550">
        <f t="shared" si="1"/>
        <v>28188</v>
      </c>
      <c r="L16" s="549">
        <v>0</v>
      </c>
      <c r="M16" s="550">
        <v>0</v>
      </c>
      <c r="N16" s="549">
        <v>0</v>
      </c>
      <c r="O16" s="518">
        <f t="shared" si="2"/>
        <v>0</v>
      </c>
      <c r="P16" s="549">
        <v>46913</v>
      </c>
      <c r="Q16" s="550">
        <v>704</v>
      </c>
      <c r="R16" s="549">
        <v>44965</v>
      </c>
      <c r="S16" s="550">
        <v>45669</v>
      </c>
      <c r="T16" s="556">
        <v>97.35</v>
      </c>
      <c r="U16" s="550">
        <v>1046</v>
      </c>
      <c r="V16" s="549">
        <v>595</v>
      </c>
      <c r="W16" s="550">
        <v>46606</v>
      </c>
      <c r="X16" s="549">
        <v>6784</v>
      </c>
      <c r="Y16" s="550">
        <v>0</v>
      </c>
      <c r="Z16" s="549">
        <v>32043</v>
      </c>
      <c r="AA16" s="550">
        <v>95</v>
      </c>
      <c r="AB16" s="549">
        <v>31277</v>
      </c>
      <c r="AC16" s="550">
        <v>31372</v>
      </c>
      <c r="AD16" s="556">
        <v>97.91</v>
      </c>
      <c r="AE16" s="550">
        <v>-77</v>
      </c>
      <c r="AF16" s="549">
        <v>201</v>
      </c>
      <c r="AG16" s="550">
        <v>31401</v>
      </c>
      <c r="AH16" s="549">
        <v>3968</v>
      </c>
      <c r="AI16" s="550">
        <v>33103426.370000001</v>
      </c>
      <c r="AJ16" s="549">
        <v>37162.480000000003</v>
      </c>
      <c r="AK16" s="550">
        <v>0</v>
      </c>
      <c r="AL16" s="549">
        <v>1605.77</v>
      </c>
      <c r="AM16" s="473">
        <f t="shared" si="3"/>
        <v>59674.395509600006</v>
      </c>
      <c r="AN16" s="141"/>
      <c r="AO16" s="566"/>
      <c r="AP16" s="567"/>
    </row>
    <row r="17" spans="1:42">
      <c r="A17" s="471">
        <v>6</v>
      </c>
      <c r="B17" s="481" t="s">
        <v>63</v>
      </c>
      <c r="C17" s="472" t="s">
        <v>64</v>
      </c>
      <c r="D17" s="550">
        <v>22828</v>
      </c>
      <c r="E17" s="549">
        <v>17239</v>
      </c>
      <c r="F17" s="550">
        <v>17193</v>
      </c>
      <c r="G17" s="549">
        <f t="shared" si="0"/>
        <v>57260</v>
      </c>
      <c r="H17" s="550">
        <v>17093</v>
      </c>
      <c r="I17" s="549">
        <v>12717</v>
      </c>
      <c r="J17" s="550">
        <v>12747</v>
      </c>
      <c r="K17" s="550">
        <f t="shared" si="1"/>
        <v>42557</v>
      </c>
      <c r="L17" s="549">
        <v>0</v>
      </c>
      <c r="M17" s="550">
        <v>0</v>
      </c>
      <c r="N17" s="549">
        <v>0</v>
      </c>
      <c r="O17" s="518">
        <f t="shared" si="2"/>
        <v>0</v>
      </c>
      <c r="P17" s="549">
        <v>58208</v>
      </c>
      <c r="Q17" s="550">
        <v>817</v>
      </c>
      <c r="R17" s="549">
        <v>56263</v>
      </c>
      <c r="S17" s="550">
        <v>57080</v>
      </c>
      <c r="T17" s="556">
        <v>98.06</v>
      </c>
      <c r="U17" s="550">
        <v>598</v>
      </c>
      <c r="V17" s="549">
        <v>795</v>
      </c>
      <c r="W17" s="550">
        <v>57656</v>
      </c>
      <c r="X17" s="549">
        <v>2008</v>
      </c>
      <c r="Y17" s="550">
        <v>0</v>
      </c>
      <c r="Z17" s="549">
        <v>44600</v>
      </c>
      <c r="AA17" s="550">
        <v>484</v>
      </c>
      <c r="AB17" s="549">
        <v>43708</v>
      </c>
      <c r="AC17" s="550">
        <v>44192</v>
      </c>
      <c r="AD17" s="556">
        <v>99.09</v>
      </c>
      <c r="AE17" s="550">
        <v>-7</v>
      </c>
      <c r="AF17" s="549">
        <v>248</v>
      </c>
      <c r="AG17" s="550">
        <v>43949</v>
      </c>
      <c r="AH17" s="549">
        <v>2872</v>
      </c>
      <c r="AI17" s="550">
        <v>45531906.920000002</v>
      </c>
      <c r="AJ17" s="549">
        <v>46525.7</v>
      </c>
      <c r="AK17" s="550">
        <v>0</v>
      </c>
      <c r="AL17" s="549">
        <v>1427.32</v>
      </c>
      <c r="AM17" s="473">
        <f t="shared" si="3"/>
        <v>66407.062123999989</v>
      </c>
      <c r="AN17" s="141"/>
      <c r="AO17" s="566"/>
      <c r="AP17" s="567"/>
    </row>
    <row r="18" spans="1:42">
      <c r="A18" s="471">
        <v>7</v>
      </c>
      <c r="B18" s="481" t="s">
        <v>65</v>
      </c>
      <c r="C18" s="472" t="s">
        <v>66</v>
      </c>
      <c r="D18" s="550">
        <v>29532</v>
      </c>
      <c r="E18" s="549">
        <v>28163</v>
      </c>
      <c r="F18" s="550">
        <v>27848</v>
      </c>
      <c r="G18" s="549">
        <f t="shared" si="0"/>
        <v>85543</v>
      </c>
      <c r="H18" s="550">
        <v>17024</v>
      </c>
      <c r="I18" s="549">
        <v>12236</v>
      </c>
      <c r="J18" s="550">
        <v>13406</v>
      </c>
      <c r="K18" s="550">
        <f t="shared" si="1"/>
        <v>42666</v>
      </c>
      <c r="L18" s="549">
        <v>0</v>
      </c>
      <c r="M18" s="550">
        <v>0</v>
      </c>
      <c r="N18" s="549">
        <v>0</v>
      </c>
      <c r="O18" s="518">
        <f t="shared" si="2"/>
        <v>0</v>
      </c>
      <c r="P18" s="549">
        <v>94562</v>
      </c>
      <c r="Q18" s="550">
        <v>1037</v>
      </c>
      <c r="R18" s="549">
        <v>92260</v>
      </c>
      <c r="S18" s="550">
        <v>93297</v>
      </c>
      <c r="T18" s="556">
        <v>98.66</v>
      </c>
      <c r="U18" s="550">
        <v>863</v>
      </c>
      <c r="V18" s="549">
        <v>874</v>
      </c>
      <c r="W18" s="550">
        <v>93997</v>
      </c>
      <c r="X18" s="549">
        <v>10731</v>
      </c>
      <c r="Y18" s="550">
        <v>0</v>
      </c>
      <c r="Z18" s="549">
        <v>46107</v>
      </c>
      <c r="AA18" s="550">
        <v>1094</v>
      </c>
      <c r="AB18" s="549">
        <v>44736</v>
      </c>
      <c r="AC18" s="550">
        <v>45830</v>
      </c>
      <c r="AD18" s="556">
        <v>99.4</v>
      </c>
      <c r="AE18" s="550">
        <v>217</v>
      </c>
      <c r="AF18" s="549">
        <v>837</v>
      </c>
      <c r="AG18" s="550">
        <v>45790</v>
      </c>
      <c r="AH18" s="549">
        <v>4139</v>
      </c>
      <c r="AI18" s="550">
        <v>50146812.759999998</v>
      </c>
      <c r="AJ18" s="549">
        <v>69178.399999999994</v>
      </c>
      <c r="AK18" s="550">
        <v>432.9</v>
      </c>
      <c r="AL18" s="549">
        <v>1501.49</v>
      </c>
      <c r="AM18" s="473">
        <f t="shared" si="3"/>
        <v>104520.67083699998</v>
      </c>
      <c r="AN18" s="141"/>
      <c r="AO18" s="566"/>
      <c r="AP18" s="567"/>
    </row>
    <row r="19" spans="1:42">
      <c r="A19" s="471">
        <v>8</v>
      </c>
      <c r="B19" s="481" t="s">
        <v>67</v>
      </c>
      <c r="C19" s="472" t="s">
        <v>68</v>
      </c>
      <c r="D19" s="550">
        <v>16626</v>
      </c>
      <c r="E19" s="549">
        <v>13399</v>
      </c>
      <c r="F19" s="550">
        <v>12944</v>
      </c>
      <c r="G19" s="549">
        <f t="shared" si="0"/>
        <v>42969</v>
      </c>
      <c r="H19" s="550">
        <v>7914</v>
      </c>
      <c r="I19" s="549">
        <v>7460</v>
      </c>
      <c r="J19" s="550">
        <v>6438</v>
      </c>
      <c r="K19" s="550">
        <f t="shared" si="1"/>
        <v>21812</v>
      </c>
      <c r="L19" s="549">
        <v>0</v>
      </c>
      <c r="M19" s="550">
        <v>0</v>
      </c>
      <c r="N19" s="549">
        <v>0</v>
      </c>
      <c r="O19" s="518">
        <f t="shared" si="2"/>
        <v>0</v>
      </c>
      <c r="P19" s="549">
        <v>44890</v>
      </c>
      <c r="Q19" s="550">
        <v>505</v>
      </c>
      <c r="R19" s="549">
        <v>43630</v>
      </c>
      <c r="S19" s="550">
        <v>44135</v>
      </c>
      <c r="T19" s="556">
        <v>98.32</v>
      </c>
      <c r="U19" s="550">
        <v>301</v>
      </c>
      <c r="V19" s="549">
        <v>361</v>
      </c>
      <c r="W19" s="550">
        <v>44292</v>
      </c>
      <c r="X19" s="549">
        <v>3154</v>
      </c>
      <c r="Y19" s="550">
        <v>0</v>
      </c>
      <c r="Z19" s="549">
        <v>21886</v>
      </c>
      <c r="AA19" s="550">
        <v>34</v>
      </c>
      <c r="AB19" s="549">
        <v>21397</v>
      </c>
      <c r="AC19" s="550">
        <v>21431</v>
      </c>
      <c r="AD19" s="556">
        <v>97.92</v>
      </c>
      <c r="AE19" s="550">
        <v>42</v>
      </c>
      <c r="AF19" s="549">
        <v>22</v>
      </c>
      <c r="AG19" s="550">
        <v>21461</v>
      </c>
      <c r="AH19" s="549">
        <v>1212</v>
      </c>
      <c r="AI19" s="550">
        <v>22667022.48</v>
      </c>
      <c r="AJ19" s="549">
        <v>34317.4</v>
      </c>
      <c r="AK19" s="550">
        <v>222.9</v>
      </c>
      <c r="AL19" s="549">
        <v>1510.96</v>
      </c>
      <c r="AM19" s="473">
        <f t="shared" si="3"/>
        <v>52189.011688000006</v>
      </c>
      <c r="AN19" s="141"/>
      <c r="AO19" s="566"/>
      <c r="AP19" s="567"/>
    </row>
    <row r="20" spans="1:42">
      <c r="A20" s="471">
        <v>9</v>
      </c>
      <c r="B20" s="481" t="s">
        <v>69</v>
      </c>
      <c r="C20" s="472" t="s">
        <v>70</v>
      </c>
      <c r="D20" s="550">
        <v>15811</v>
      </c>
      <c r="E20" s="549">
        <v>15254</v>
      </c>
      <c r="F20" s="550">
        <v>15002</v>
      </c>
      <c r="G20" s="549">
        <f t="shared" si="0"/>
        <v>46067</v>
      </c>
      <c r="H20" s="550">
        <v>20068</v>
      </c>
      <c r="I20" s="549">
        <v>14275</v>
      </c>
      <c r="J20" s="550">
        <v>14037</v>
      </c>
      <c r="K20" s="550">
        <f t="shared" si="1"/>
        <v>48380</v>
      </c>
      <c r="L20" s="549">
        <v>0</v>
      </c>
      <c r="M20" s="550">
        <v>0</v>
      </c>
      <c r="N20" s="549">
        <v>0</v>
      </c>
      <c r="O20" s="518">
        <f t="shared" si="2"/>
        <v>0</v>
      </c>
      <c r="P20" s="549">
        <v>52266</v>
      </c>
      <c r="Q20" s="550">
        <v>1088</v>
      </c>
      <c r="R20" s="549">
        <v>48333</v>
      </c>
      <c r="S20" s="550">
        <v>49421</v>
      </c>
      <c r="T20" s="556">
        <v>94.56</v>
      </c>
      <c r="U20" s="550">
        <v>1398</v>
      </c>
      <c r="V20" s="549">
        <v>1478</v>
      </c>
      <c r="W20" s="550">
        <v>51209</v>
      </c>
      <c r="X20" s="549">
        <v>7736</v>
      </c>
      <c r="Y20" s="550">
        <v>0</v>
      </c>
      <c r="Z20" s="549">
        <v>56048</v>
      </c>
      <c r="AA20" s="550">
        <v>574</v>
      </c>
      <c r="AB20" s="549">
        <v>52723</v>
      </c>
      <c r="AC20" s="550">
        <v>53297</v>
      </c>
      <c r="AD20" s="556">
        <v>95.09</v>
      </c>
      <c r="AE20" s="550">
        <v>1828</v>
      </c>
      <c r="AF20" s="549">
        <v>429</v>
      </c>
      <c r="AG20" s="550">
        <v>54980</v>
      </c>
      <c r="AH20" s="549">
        <v>7841</v>
      </c>
      <c r="AI20" s="550">
        <v>62658571.590000004</v>
      </c>
      <c r="AJ20" s="549">
        <v>55879.8</v>
      </c>
      <c r="AK20" s="550">
        <v>0</v>
      </c>
      <c r="AL20" s="549">
        <v>1319.4</v>
      </c>
      <c r="AM20" s="473">
        <f t="shared" si="3"/>
        <v>73727.808120000002</v>
      </c>
      <c r="AN20" s="141"/>
      <c r="AO20" s="566"/>
      <c r="AP20" s="567"/>
    </row>
    <row r="21" spans="1:42">
      <c r="A21" s="471">
        <v>10</v>
      </c>
      <c r="B21" s="481" t="s">
        <v>71</v>
      </c>
      <c r="C21" s="472" t="s">
        <v>72</v>
      </c>
      <c r="D21" s="550">
        <v>52994</v>
      </c>
      <c r="E21" s="549">
        <v>50262</v>
      </c>
      <c r="F21" s="550">
        <v>50754</v>
      </c>
      <c r="G21" s="549">
        <f t="shared" si="0"/>
        <v>154010</v>
      </c>
      <c r="H21" s="550">
        <v>37270</v>
      </c>
      <c r="I21" s="549">
        <v>29618</v>
      </c>
      <c r="J21" s="550">
        <v>31512</v>
      </c>
      <c r="K21" s="550">
        <f t="shared" si="1"/>
        <v>98400</v>
      </c>
      <c r="L21" s="549">
        <v>0</v>
      </c>
      <c r="M21" s="550">
        <v>0</v>
      </c>
      <c r="N21" s="549">
        <v>0</v>
      </c>
      <c r="O21" s="518">
        <f t="shared" si="2"/>
        <v>0</v>
      </c>
      <c r="P21" s="549">
        <v>175718</v>
      </c>
      <c r="Q21" s="550">
        <v>3187</v>
      </c>
      <c r="R21" s="549">
        <v>166741</v>
      </c>
      <c r="S21" s="550">
        <v>169928</v>
      </c>
      <c r="T21" s="556">
        <v>96.7</v>
      </c>
      <c r="U21" s="550">
        <v>3438</v>
      </c>
      <c r="V21" s="549">
        <v>2670</v>
      </c>
      <c r="W21" s="550">
        <v>172849</v>
      </c>
      <c r="X21" s="549">
        <v>27067</v>
      </c>
      <c r="Y21" s="550">
        <v>0</v>
      </c>
      <c r="Z21" s="549">
        <v>111464</v>
      </c>
      <c r="AA21" s="550">
        <v>573</v>
      </c>
      <c r="AB21" s="549">
        <v>106019</v>
      </c>
      <c r="AC21" s="550">
        <v>106592</v>
      </c>
      <c r="AD21" s="556">
        <v>95.63</v>
      </c>
      <c r="AE21" s="550">
        <v>-909</v>
      </c>
      <c r="AF21" s="549">
        <v>279</v>
      </c>
      <c r="AG21" s="550">
        <v>105389</v>
      </c>
      <c r="AH21" s="549">
        <v>9656</v>
      </c>
      <c r="AI21" s="550">
        <v>117629423.26000001</v>
      </c>
      <c r="AJ21" s="549">
        <v>146687</v>
      </c>
      <c r="AK21" s="550">
        <v>84</v>
      </c>
      <c r="AL21" s="549">
        <v>1416.2</v>
      </c>
      <c r="AM21" s="473">
        <f t="shared" si="3"/>
        <v>207857.09020000001</v>
      </c>
      <c r="AN21" s="141"/>
      <c r="AO21" s="566"/>
      <c r="AP21" s="567"/>
    </row>
    <row r="22" spans="1:42">
      <c r="A22" s="471">
        <v>11</v>
      </c>
      <c r="B22" s="481" t="s">
        <v>73</v>
      </c>
      <c r="C22" s="472" t="s">
        <v>74</v>
      </c>
      <c r="D22" s="550">
        <v>23104</v>
      </c>
      <c r="E22" s="549">
        <v>22697</v>
      </c>
      <c r="F22" s="550">
        <v>22615</v>
      </c>
      <c r="G22" s="549">
        <f t="shared" si="0"/>
        <v>68416</v>
      </c>
      <c r="H22" s="550">
        <v>15708</v>
      </c>
      <c r="I22" s="549">
        <v>14453</v>
      </c>
      <c r="J22" s="550">
        <v>12784</v>
      </c>
      <c r="K22" s="550">
        <f t="shared" si="1"/>
        <v>42945</v>
      </c>
      <c r="L22" s="549">
        <v>0</v>
      </c>
      <c r="M22" s="550">
        <v>0</v>
      </c>
      <c r="N22" s="549">
        <v>0</v>
      </c>
      <c r="O22" s="518">
        <f t="shared" si="2"/>
        <v>0</v>
      </c>
      <c r="P22" s="549">
        <v>81297</v>
      </c>
      <c r="Q22" s="550">
        <v>991</v>
      </c>
      <c r="R22" s="549">
        <v>77325</v>
      </c>
      <c r="S22" s="550">
        <v>78316</v>
      </c>
      <c r="T22" s="556">
        <v>96.33</v>
      </c>
      <c r="U22" s="550">
        <v>1620</v>
      </c>
      <c r="V22" s="549">
        <v>658</v>
      </c>
      <c r="W22" s="550">
        <v>79603</v>
      </c>
      <c r="X22" s="549">
        <v>15886</v>
      </c>
      <c r="Y22" s="550">
        <v>0</v>
      </c>
      <c r="Z22" s="549">
        <v>52857</v>
      </c>
      <c r="AA22" s="550">
        <v>319</v>
      </c>
      <c r="AB22" s="549">
        <v>51124</v>
      </c>
      <c r="AC22" s="550">
        <v>51443</v>
      </c>
      <c r="AD22" s="556">
        <v>97.32</v>
      </c>
      <c r="AE22" s="550">
        <v>2440</v>
      </c>
      <c r="AF22" s="549">
        <v>287</v>
      </c>
      <c r="AG22" s="550">
        <v>53851</v>
      </c>
      <c r="AH22" s="549">
        <v>12215</v>
      </c>
      <c r="AI22" s="550">
        <v>53471706.32</v>
      </c>
      <c r="AJ22" s="549">
        <v>74855.100000000006</v>
      </c>
      <c r="AK22" s="550">
        <v>0</v>
      </c>
      <c r="AL22" s="549">
        <v>1415.27</v>
      </c>
      <c r="AM22" s="473">
        <f t="shared" si="3"/>
        <v>105940.177377</v>
      </c>
      <c r="AN22" s="141"/>
      <c r="AO22" s="566"/>
      <c r="AP22" s="567"/>
    </row>
    <row r="23" spans="1:42">
      <c r="A23" s="471">
        <v>12</v>
      </c>
      <c r="B23" s="481" t="s">
        <v>75</v>
      </c>
      <c r="C23" s="472" t="s">
        <v>76</v>
      </c>
      <c r="D23" s="550">
        <v>8212</v>
      </c>
      <c r="E23" s="549">
        <v>7810</v>
      </c>
      <c r="F23" s="550">
        <v>8077</v>
      </c>
      <c r="G23" s="549">
        <f t="shared" si="0"/>
        <v>24099</v>
      </c>
      <c r="H23" s="550">
        <v>7430</v>
      </c>
      <c r="I23" s="549">
        <v>6539</v>
      </c>
      <c r="J23" s="550">
        <v>6548</v>
      </c>
      <c r="K23" s="550">
        <f t="shared" si="1"/>
        <v>20517</v>
      </c>
      <c r="L23" s="549">
        <v>0</v>
      </c>
      <c r="M23" s="550">
        <v>0</v>
      </c>
      <c r="N23" s="549">
        <v>0</v>
      </c>
      <c r="O23" s="518">
        <f t="shared" si="2"/>
        <v>0</v>
      </c>
      <c r="P23" s="549">
        <v>27937</v>
      </c>
      <c r="Q23" s="550">
        <v>511</v>
      </c>
      <c r="R23" s="549">
        <v>26525</v>
      </c>
      <c r="S23" s="550">
        <v>27036</v>
      </c>
      <c r="T23" s="556">
        <v>96.77</v>
      </c>
      <c r="U23" s="550">
        <v>653</v>
      </c>
      <c r="V23" s="549">
        <v>426</v>
      </c>
      <c r="W23" s="550">
        <v>27604</v>
      </c>
      <c r="X23" s="549">
        <v>4226</v>
      </c>
      <c r="Y23" s="550">
        <v>0</v>
      </c>
      <c r="Z23" s="549">
        <v>22713</v>
      </c>
      <c r="AA23" s="550">
        <v>647</v>
      </c>
      <c r="AB23" s="549">
        <v>21615</v>
      </c>
      <c r="AC23" s="550">
        <v>22262</v>
      </c>
      <c r="AD23" s="556">
        <v>98.01</v>
      </c>
      <c r="AE23" s="550">
        <v>66</v>
      </c>
      <c r="AF23" s="549">
        <v>704</v>
      </c>
      <c r="AG23" s="550">
        <v>22385</v>
      </c>
      <c r="AH23" s="549">
        <v>3019</v>
      </c>
      <c r="AI23" s="550">
        <v>24400486.93</v>
      </c>
      <c r="AJ23" s="549">
        <v>22310.5</v>
      </c>
      <c r="AK23" s="550">
        <v>0</v>
      </c>
      <c r="AL23" s="549">
        <v>1584.23</v>
      </c>
      <c r="AM23" s="473">
        <f t="shared" si="3"/>
        <v>35344.963414999998</v>
      </c>
      <c r="AN23" s="141"/>
      <c r="AO23" s="566"/>
      <c r="AP23" s="567"/>
    </row>
    <row r="24" spans="1:42">
      <c r="A24" s="471">
        <v>13</v>
      </c>
      <c r="B24" s="481" t="s">
        <v>77</v>
      </c>
      <c r="C24" s="472" t="s">
        <v>78</v>
      </c>
      <c r="D24" s="550">
        <v>24489</v>
      </c>
      <c r="E24" s="549">
        <v>23534</v>
      </c>
      <c r="F24" s="550">
        <v>23606</v>
      </c>
      <c r="G24" s="549">
        <f t="shared" si="0"/>
        <v>71629</v>
      </c>
      <c r="H24" s="550">
        <v>24574</v>
      </c>
      <c r="I24" s="549">
        <v>22753</v>
      </c>
      <c r="J24" s="550">
        <v>23191</v>
      </c>
      <c r="K24" s="550">
        <f t="shared" si="1"/>
        <v>70518</v>
      </c>
      <c r="L24" s="549">
        <v>0</v>
      </c>
      <c r="M24" s="550">
        <v>0</v>
      </c>
      <c r="N24" s="549">
        <v>0</v>
      </c>
      <c r="O24" s="518">
        <f t="shared" si="2"/>
        <v>0</v>
      </c>
      <c r="P24" s="549">
        <v>83069</v>
      </c>
      <c r="Q24" s="550">
        <v>766</v>
      </c>
      <c r="R24" s="549">
        <v>80497</v>
      </c>
      <c r="S24" s="550">
        <v>81263</v>
      </c>
      <c r="T24" s="556">
        <v>97.83</v>
      </c>
      <c r="U24" s="550">
        <v>835</v>
      </c>
      <c r="V24" s="549">
        <v>746</v>
      </c>
      <c r="W24" s="550">
        <v>82078</v>
      </c>
      <c r="X24" s="549">
        <v>12796</v>
      </c>
      <c r="Y24" s="550">
        <v>0</v>
      </c>
      <c r="Z24" s="549">
        <v>78523</v>
      </c>
      <c r="AA24" s="550">
        <v>542</v>
      </c>
      <c r="AB24" s="549">
        <v>76779</v>
      </c>
      <c r="AC24" s="550">
        <v>77321</v>
      </c>
      <c r="AD24" s="556">
        <v>98.47</v>
      </c>
      <c r="AE24" s="550">
        <v>-911</v>
      </c>
      <c r="AF24" s="549">
        <v>259</v>
      </c>
      <c r="AG24" s="550">
        <v>76127</v>
      </c>
      <c r="AH24" s="549">
        <v>6593</v>
      </c>
      <c r="AI24" s="550">
        <v>82744568.439999998</v>
      </c>
      <c r="AJ24" s="549">
        <v>65372.5</v>
      </c>
      <c r="AK24" s="550">
        <v>0</v>
      </c>
      <c r="AL24" s="549">
        <v>1554.27</v>
      </c>
      <c r="AM24" s="473">
        <f t="shared" si="3"/>
        <v>101606.515575</v>
      </c>
      <c r="AN24" s="141"/>
      <c r="AO24" s="566"/>
      <c r="AP24" s="567"/>
    </row>
    <row r="25" spans="1:42">
      <c r="A25" s="471">
        <v>14</v>
      </c>
      <c r="B25" s="481" t="s">
        <v>79</v>
      </c>
      <c r="C25" s="472" t="s">
        <v>80</v>
      </c>
      <c r="D25" s="550">
        <v>24162</v>
      </c>
      <c r="E25" s="549">
        <v>23705</v>
      </c>
      <c r="F25" s="550">
        <v>22774</v>
      </c>
      <c r="G25" s="549">
        <f t="shared" si="0"/>
        <v>70641</v>
      </c>
      <c r="H25" s="550">
        <v>22302</v>
      </c>
      <c r="I25" s="549">
        <v>21136</v>
      </c>
      <c r="J25" s="550">
        <v>18897</v>
      </c>
      <c r="K25" s="550">
        <f t="shared" si="1"/>
        <v>62335</v>
      </c>
      <c r="L25" s="549">
        <v>0</v>
      </c>
      <c r="M25" s="550">
        <v>0</v>
      </c>
      <c r="N25" s="549">
        <v>0</v>
      </c>
      <c r="O25" s="518">
        <f t="shared" si="2"/>
        <v>0</v>
      </c>
      <c r="P25" s="549">
        <v>82983</v>
      </c>
      <c r="Q25" s="550">
        <v>845</v>
      </c>
      <c r="R25" s="549">
        <v>80911</v>
      </c>
      <c r="S25" s="550">
        <v>81756</v>
      </c>
      <c r="T25" s="556">
        <v>98.52</v>
      </c>
      <c r="U25" s="550">
        <v>842</v>
      </c>
      <c r="V25" s="549">
        <v>795</v>
      </c>
      <c r="W25" s="550">
        <v>82548</v>
      </c>
      <c r="X25" s="549">
        <v>12883</v>
      </c>
      <c r="Y25" s="550">
        <v>0</v>
      </c>
      <c r="Z25" s="549">
        <v>70991</v>
      </c>
      <c r="AA25" s="550">
        <v>621</v>
      </c>
      <c r="AB25" s="549">
        <v>69517</v>
      </c>
      <c r="AC25" s="550">
        <v>70138</v>
      </c>
      <c r="AD25" s="556">
        <v>98.8</v>
      </c>
      <c r="AE25" s="550">
        <v>-807</v>
      </c>
      <c r="AF25" s="549">
        <v>522</v>
      </c>
      <c r="AG25" s="550">
        <v>69232</v>
      </c>
      <c r="AH25" s="549">
        <v>9550</v>
      </c>
      <c r="AI25" s="550">
        <v>76169154.460000008</v>
      </c>
      <c r="AJ25" s="549">
        <v>67469.2</v>
      </c>
      <c r="AK25" s="550">
        <v>0</v>
      </c>
      <c r="AL25" s="549">
        <v>1372.67</v>
      </c>
      <c r="AM25" s="473">
        <f t="shared" si="3"/>
        <v>92612.946763999993</v>
      </c>
      <c r="AN25" s="141"/>
      <c r="AO25" s="566"/>
      <c r="AP25" s="567"/>
    </row>
    <row r="26" spans="1:42">
      <c r="A26" s="471">
        <v>15</v>
      </c>
      <c r="B26" s="481" t="s">
        <v>81</v>
      </c>
      <c r="C26" s="472" t="s">
        <v>82</v>
      </c>
      <c r="D26" s="550">
        <v>12919</v>
      </c>
      <c r="E26" s="549">
        <v>13929</v>
      </c>
      <c r="F26" s="550">
        <v>13932</v>
      </c>
      <c r="G26" s="549">
        <f t="shared" si="0"/>
        <v>40780</v>
      </c>
      <c r="H26" s="550">
        <v>12876</v>
      </c>
      <c r="I26" s="549">
        <v>11939</v>
      </c>
      <c r="J26" s="550">
        <v>11597</v>
      </c>
      <c r="K26" s="550">
        <f t="shared" si="1"/>
        <v>36412</v>
      </c>
      <c r="L26" s="549">
        <v>0</v>
      </c>
      <c r="M26" s="550">
        <v>0</v>
      </c>
      <c r="N26" s="549">
        <v>0</v>
      </c>
      <c r="O26" s="518">
        <f t="shared" si="2"/>
        <v>0</v>
      </c>
      <c r="P26" s="549">
        <v>50184</v>
      </c>
      <c r="Q26" s="550">
        <v>465</v>
      </c>
      <c r="R26" s="549">
        <v>48350</v>
      </c>
      <c r="S26" s="550">
        <v>48815</v>
      </c>
      <c r="T26" s="556">
        <v>97.27</v>
      </c>
      <c r="U26" s="550">
        <v>830</v>
      </c>
      <c r="V26" s="549">
        <v>430</v>
      </c>
      <c r="W26" s="550">
        <v>49610</v>
      </c>
      <c r="X26" s="549">
        <v>10191</v>
      </c>
      <c r="Y26" s="550">
        <v>0</v>
      </c>
      <c r="Z26" s="549">
        <v>39229</v>
      </c>
      <c r="AA26" s="550">
        <v>535</v>
      </c>
      <c r="AB26" s="549">
        <v>38179</v>
      </c>
      <c r="AC26" s="550">
        <v>38714</v>
      </c>
      <c r="AD26" s="556">
        <v>98.69</v>
      </c>
      <c r="AE26" s="550">
        <v>-1173</v>
      </c>
      <c r="AF26" s="549">
        <v>196</v>
      </c>
      <c r="AG26" s="550">
        <v>37202</v>
      </c>
      <c r="AH26" s="549">
        <v>3396</v>
      </c>
      <c r="AI26" s="550">
        <v>46411734.909999996</v>
      </c>
      <c r="AJ26" s="549">
        <v>36952.5</v>
      </c>
      <c r="AK26" s="550">
        <v>0</v>
      </c>
      <c r="AL26" s="549">
        <v>1610.73</v>
      </c>
      <c r="AM26" s="473">
        <f t="shared" si="3"/>
        <v>59520.500325000001</v>
      </c>
      <c r="AN26" s="141"/>
      <c r="AO26" s="566"/>
      <c r="AP26" s="567"/>
    </row>
    <row r="27" spans="1:42">
      <c r="A27" s="471">
        <v>16</v>
      </c>
      <c r="B27" s="481" t="s">
        <v>83</v>
      </c>
      <c r="C27" s="472" t="s">
        <v>84</v>
      </c>
      <c r="D27" s="550">
        <v>25712</v>
      </c>
      <c r="E27" s="549">
        <v>25544</v>
      </c>
      <c r="F27" s="550">
        <v>25462</v>
      </c>
      <c r="G27" s="549">
        <f t="shared" si="0"/>
        <v>76718</v>
      </c>
      <c r="H27" s="550">
        <v>20307</v>
      </c>
      <c r="I27" s="549">
        <v>18104</v>
      </c>
      <c r="J27" s="550">
        <v>17608</v>
      </c>
      <c r="K27" s="550">
        <f t="shared" si="1"/>
        <v>56019</v>
      </c>
      <c r="L27" s="549">
        <v>0</v>
      </c>
      <c r="M27" s="550">
        <v>0</v>
      </c>
      <c r="N27" s="549">
        <v>0</v>
      </c>
      <c r="O27" s="518">
        <f t="shared" si="2"/>
        <v>0</v>
      </c>
      <c r="P27" s="549">
        <v>85353</v>
      </c>
      <c r="Q27" s="550">
        <v>953</v>
      </c>
      <c r="R27" s="549">
        <v>83459</v>
      </c>
      <c r="S27" s="550">
        <v>84412</v>
      </c>
      <c r="T27" s="556">
        <v>98.9</v>
      </c>
      <c r="U27" s="550">
        <v>862</v>
      </c>
      <c r="V27" s="549">
        <v>888</v>
      </c>
      <c r="W27" s="550">
        <v>85209</v>
      </c>
      <c r="X27" s="549">
        <v>10930</v>
      </c>
      <c r="Y27" s="550">
        <v>0</v>
      </c>
      <c r="Z27" s="549">
        <v>62275</v>
      </c>
      <c r="AA27" s="550">
        <v>963</v>
      </c>
      <c r="AB27" s="549">
        <v>60019</v>
      </c>
      <c r="AC27" s="550">
        <v>60982</v>
      </c>
      <c r="AD27" s="556">
        <v>97.92</v>
      </c>
      <c r="AE27" s="550">
        <v>-962</v>
      </c>
      <c r="AF27" s="549">
        <v>685</v>
      </c>
      <c r="AG27" s="550">
        <v>59742</v>
      </c>
      <c r="AH27" s="549">
        <v>6195</v>
      </c>
      <c r="AI27" s="550">
        <v>65381292.580000006</v>
      </c>
      <c r="AJ27" s="549">
        <v>66903.23</v>
      </c>
      <c r="AK27" s="550">
        <v>15.4</v>
      </c>
      <c r="AL27" s="549">
        <v>1468.35</v>
      </c>
      <c r="AM27" s="473">
        <f t="shared" si="3"/>
        <v>98259.970360499981</v>
      </c>
      <c r="AN27" s="141"/>
      <c r="AO27" s="566"/>
      <c r="AP27" s="567"/>
    </row>
    <row r="28" spans="1:42">
      <c r="A28" s="471">
        <v>17</v>
      </c>
      <c r="B28" s="481" t="s">
        <v>85</v>
      </c>
      <c r="C28" s="472" t="s">
        <v>815</v>
      </c>
      <c r="D28" s="550">
        <v>21712</v>
      </c>
      <c r="E28" s="549">
        <v>21001</v>
      </c>
      <c r="F28" s="550">
        <v>21671</v>
      </c>
      <c r="G28" s="549">
        <f t="shared" si="0"/>
        <v>64384</v>
      </c>
      <c r="H28" s="550">
        <v>20162</v>
      </c>
      <c r="I28" s="549">
        <v>16179</v>
      </c>
      <c r="J28" s="550">
        <v>16159</v>
      </c>
      <c r="K28" s="550">
        <f t="shared" si="1"/>
        <v>52500</v>
      </c>
      <c r="L28" s="549">
        <v>0</v>
      </c>
      <c r="M28" s="550">
        <v>0</v>
      </c>
      <c r="N28" s="549">
        <v>0</v>
      </c>
      <c r="O28" s="518">
        <f t="shared" si="2"/>
        <v>0</v>
      </c>
      <c r="P28" s="549">
        <v>78459</v>
      </c>
      <c r="Q28" s="550">
        <v>568</v>
      </c>
      <c r="R28" s="549">
        <v>76056</v>
      </c>
      <c r="S28" s="550">
        <v>76624</v>
      </c>
      <c r="T28" s="556">
        <v>97.66</v>
      </c>
      <c r="U28" s="550">
        <v>1400</v>
      </c>
      <c r="V28" s="549">
        <v>494</v>
      </c>
      <c r="W28" s="550">
        <v>77950</v>
      </c>
      <c r="X28" s="549">
        <v>16670</v>
      </c>
      <c r="Y28" s="550">
        <v>0</v>
      </c>
      <c r="Z28" s="549">
        <v>60871</v>
      </c>
      <c r="AA28" s="550">
        <v>326</v>
      </c>
      <c r="AB28" s="549">
        <v>59436</v>
      </c>
      <c r="AC28" s="550">
        <v>59762</v>
      </c>
      <c r="AD28" s="556">
        <v>98.18</v>
      </c>
      <c r="AE28" s="550">
        <v>394</v>
      </c>
      <c r="AF28" s="549">
        <v>111</v>
      </c>
      <c r="AG28" s="550">
        <v>59941</v>
      </c>
      <c r="AH28" s="549">
        <v>10108</v>
      </c>
      <c r="AI28" s="550">
        <v>64914698.030000001</v>
      </c>
      <c r="AJ28" s="549">
        <v>58436.9</v>
      </c>
      <c r="AK28" s="550">
        <v>0</v>
      </c>
      <c r="AL28" s="549">
        <v>1570.56</v>
      </c>
      <c r="AM28" s="473">
        <f t="shared" si="3"/>
        <v>91778.657663999998</v>
      </c>
      <c r="AN28" s="141"/>
      <c r="AO28" s="566"/>
      <c r="AP28" s="567"/>
    </row>
    <row r="29" spans="1:42">
      <c r="A29" s="471">
        <v>18</v>
      </c>
      <c r="B29" s="481" t="s">
        <v>86</v>
      </c>
      <c r="C29" s="472" t="s">
        <v>87</v>
      </c>
      <c r="D29" s="550">
        <v>31929</v>
      </c>
      <c r="E29" s="549">
        <v>30610</v>
      </c>
      <c r="F29" s="550">
        <v>31110</v>
      </c>
      <c r="G29" s="549">
        <f t="shared" si="0"/>
        <v>93649</v>
      </c>
      <c r="H29" s="550">
        <v>22524</v>
      </c>
      <c r="I29" s="549">
        <v>18477</v>
      </c>
      <c r="J29" s="550">
        <v>18376</v>
      </c>
      <c r="K29" s="550">
        <f t="shared" si="1"/>
        <v>59377</v>
      </c>
      <c r="L29" s="549">
        <v>0</v>
      </c>
      <c r="M29" s="550">
        <v>0</v>
      </c>
      <c r="N29" s="549">
        <v>0</v>
      </c>
      <c r="O29" s="518">
        <f t="shared" si="2"/>
        <v>0</v>
      </c>
      <c r="P29" s="549">
        <v>106703</v>
      </c>
      <c r="Q29" s="550">
        <v>1895</v>
      </c>
      <c r="R29" s="549">
        <v>100678</v>
      </c>
      <c r="S29" s="550">
        <v>102573</v>
      </c>
      <c r="T29" s="556">
        <v>96.13</v>
      </c>
      <c r="U29" s="550">
        <v>1800</v>
      </c>
      <c r="V29" s="549">
        <v>-24</v>
      </c>
      <c r="W29" s="550">
        <v>102454</v>
      </c>
      <c r="X29" s="549">
        <v>11689</v>
      </c>
      <c r="Y29" s="550">
        <v>0</v>
      </c>
      <c r="Z29" s="549">
        <v>67439</v>
      </c>
      <c r="AA29" s="550">
        <v>461</v>
      </c>
      <c r="AB29" s="549">
        <v>65835</v>
      </c>
      <c r="AC29" s="550">
        <v>66296</v>
      </c>
      <c r="AD29" s="556">
        <v>98.31</v>
      </c>
      <c r="AE29" s="550">
        <v>-2107</v>
      </c>
      <c r="AF29" s="549">
        <v>700</v>
      </c>
      <c r="AG29" s="550">
        <v>64428</v>
      </c>
      <c r="AH29" s="549">
        <v>6890</v>
      </c>
      <c r="AI29" s="550">
        <v>71902805.5</v>
      </c>
      <c r="AJ29" s="549">
        <v>86593.4</v>
      </c>
      <c r="AK29" s="550">
        <v>0</v>
      </c>
      <c r="AL29" s="549">
        <v>1431.59</v>
      </c>
      <c r="AM29" s="473">
        <f t="shared" si="3"/>
        <v>123966.24550599998</v>
      </c>
      <c r="AN29" s="141"/>
      <c r="AO29" s="566"/>
      <c r="AP29" s="567"/>
    </row>
    <row r="30" spans="1:42">
      <c r="A30" s="471">
        <v>19</v>
      </c>
      <c r="B30" s="481" t="s">
        <v>88</v>
      </c>
      <c r="C30" s="472" t="s">
        <v>89</v>
      </c>
      <c r="D30" s="550">
        <v>81197.67</v>
      </c>
      <c r="E30" s="549">
        <v>82825.11</v>
      </c>
      <c r="F30" s="550">
        <v>85832.51</v>
      </c>
      <c r="G30" s="549">
        <f t="shared" si="0"/>
        <v>249855.28999999998</v>
      </c>
      <c r="H30" s="550">
        <v>135197.76000000001</v>
      </c>
      <c r="I30" s="549">
        <v>108648.47</v>
      </c>
      <c r="J30" s="550">
        <v>112171.26</v>
      </c>
      <c r="K30" s="550">
        <f t="shared" si="1"/>
        <v>356017.49</v>
      </c>
      <c r="L30" s="549">
        <v>0</v>
      </c>
      <c r="M30" s="550">
        <v>0</v>
      </c>
      <c r="N30" s="549">
        <v>0</v>
      </c>
      <c r="O30" s="518">
        <f t="shared" si="2"/>
        <v>0</v>
      </c>
      <c r="P30" s="549">
        <v>279455</v>
      </c>
      <c r="Q30" s="550">
        <v>2055.87</v>
      </c>
      <c r="R30" s="549">
        <v>264432.05</v>
      </c>
      <c r="S30" s="550">
        <v>266487.92</v>
      </c>
      <c r="T30" s="556">
        <v>95.36</v>
      </c>
      <c r="U30" s="550">
        <v>9126.43</v>
      </c>
      <c r="V30" s="549">
        <v>2575.2600000000002</v>
      </c>
      <c r="W30" s="550">
        <v>276133.74</v>
      </c>
      <c r="X30" s="549">
        <v>38365.17</v>
      </c>
      <c r="Y30" s="550">
        <v>0.04</v>
      </c>
      <c r="Z30" s="549">
        <v>409972.54</v>
      </c>
      <c r="AA30" s="550">
        <v>2306.37</v>
      </c>
      <c r="AB30" s="549">
        <v>389454.95</v>
      </c>
      <c r="AC30" s="550">
        <v>391761.31</v>
      </c>
      <c r="AD30" s="556">
        <v>95.56</v>
      </c>
      <c r="AE30" s="550">
        <v>-2193.7199999999998</v>
      </c>
      <c r="AF30" s="549">
        <v>2401.69</v>
      </c>
      <c r="AG30" s="550">
        <v>389662.92</v>
      </c>
      <c r="AH30" s="549">
        <v>39393.339999999997</v>
      </c>
      <c r="AI30" s="550">
        <v>427232236.56</v>
      </c>
      <c r="AJ30" s="549">
        <v>309469.3</v>
      </c>
      <c r="AK30" s="550">
        <v>0</v>
      </c>
      <c r="AL30" s="549">
        <v>1269.1199999999999</v>
      </c>
      <c r="AM30" s="473">
        <f t="shared" si="3"/>
        <v>392753.67801599996</v>
      </c>
      <c r="AN30" s="141"/>
      <c r="AO30" s="566"/>
      <c r="AP30" s="567"/>
    </row>
    <row r="31" spans="1:42">
      <c r="A31" s="471">
        <v>20</v>
      </c>
      <c r="B31" s="481" t="s">
        <v>90</v>
      </c>
      <c r="C31" s="472" t="s">
        <v>91</v>
      </c>
      <c r="D31" s="550">
        <v>13739</v>
      </c>
      <c r="E31" s="549">
        <v>12722</v>
      </c>
      <c r="F31" s="550">
        <v>13137</v>
      </c>
      <c r="G31" s="549">
        <f t="shared" si="0"/>
        <v>39598</v>
      </c>
      <c r="H31" s="550">
        <v>13728</v>
      </c>
      <c r="I31" s="549">
        <v>11635</v>
      </c>
      <c r="J31" s="550">
        <v>11783</v>
      </c>
      <c r="K31" s="550">
        <f t="shared" si="1"/>
        <v>37146</v>
      </c>
      <c r="L31" s="549">
        <v>0</v>
      </c>
      <c r="M31" s="550">
        <v>0</v>
      </c>
      <c r="N31" s="549">
        <v>0</v>
      </c>
      <c r="O31" s="518">
        <f t="shared" si="2"/>
        <v>0</v>
      </c>
      <c r="P31" s="549">
        <v>44155</v>
      </c>
      <c r="Q31" s="550">
        <v>0</v>
      </c>
      <c r="R31" s="549">
        <v>42853</v>
      </c>
      <c r="S31" s="550">
        <v>42853</v>
      </c>
      <c r="T31" s="556">
        <v>97.05</v>
      </c>
      <c r="U31" s="550">
        <v>729</v>
      </c>
      <c r="V31" s="549">
        <v>0</v>
      </c>
      <c r="W31" s="550">
        <v>43582</v>
      </c>
      <c r="X31" s="549">
        <v>1162</v>
      </c>
      <c r="Y31" s="550">
        <v>0</v>
      </c>
      <c r="Z31" s="549">
        <v>40965</v>
      </c>
      <c r="AA31" s="550">
        <v>0</v>
      </c>
      <c r="AB31" s="549">
        <v>39646</v>
      </c>
      <c r="AC31" s="550">
        <v>39646</v>
      </c>
      <c r="AD31" s="556">
        <v>96.78</v>
      </c>
      <c r="AE31" s="550">
        <v>127</v>
      </c>
      <c r="AF31" s="549">
        <v>0</v>
      </c>
      <c r="AG31" s="550">
        <v>39773</v>
      </c>
      <c r="AH31" s="549">
        <v>765</v>
      </c>
      <c r="AI31" s="550">
        <v>41900382.759999998</v>
      </c>
      <c r="AJ31" s="549">
        <v>32514.36</v>
      </c>
      <c r="AK31" s="550">
        <v>0</v>
      </c>
      <c r="AL31" s="549">
        <v>1508.15</v>
      </c>
      <c r="AM31" s="473">
        <f t="shared" si="3"/>
        <v>49036.532034000003</v>
      </c>
      <c r="AN31" s="141"/>
      <c r="AO31" s="566"/>
      <c r="AP31" s="567"/>
    </row>
    <row r="32" spans="1:42">
      <c r="A32" s="471">
        <v>21</v>
      </c>
      <c r="B32" s="481" t="s">
        <v>92</v>
      </c>
      <c r="C32" s="472" t="s">
        <v>93</v>
      </c>
      <c r="D32" s="550">
        <v>13171</v>
      </c>
      <c r="E32" s="549">
        <v>12949</v>
      </c>
      <c r="F32" s="550">
        <v>12909</v>
      </c>
      <c r="G32" s="549">
        <f t="shared" si="0"/>
        <v>39029</v>
      </c>
      <c r="H32" s="550">
        <v>12409</v>
      </c>
      <c r="I32" s="549">
        <v>15422</v>
      </c>
      <c r="J32" s="550">
        <v>11590</v>
      </c>
      <c r="K32" s="550">
        <f t="shared" si="1"/>
        <v>39421</v>
      </c>
      <c r="L32" s="549">
        <v>0</v>
      </c>
      <c r="M32" s="550">
        <v>0</v>
      </c>
      <c r="N32" s="549">
        <v>0</v>
      </c>
      <c r="O32" s="518">
        <f t="shared" si="2"/>
        <v>0</v>
      </c>
      <c r="P32" s="549">
        <v>44984</v>
      </c>
      <c r="Q32" s="550">
        <v>450</v>
      </c>
      <c r="R32" s="549">
        <v>43084</v>
      </c>
      <c r="S32" s="550">
        <v>43534</v>
      </c>
      <c r="T32" s="556">
        <v>96.78</v>
      </c>
      <c r="U32" s="550">
        <v>290</v>
      </c>
      <c r="V32" s="549">
        <v>475</v>
      </c>
      <c r="W32" s="550">
        <v>43849</v>
      </c>
      <c r="X32" s="549">
        <v>7109</v>
      </c>
      <c r="Y32" s="550">
        <v>0</v>
      </c>
      <c r="Z32" s="549">
        <v>47075</v>
      </c>
      <c r="AA32" s="550">
        <v>106</v>
      </c>
      <c r="AB32" s="549">
        <v>45695</v>
      </c>
      <c r="AC32" s="550">
        <v>45801</v>
      </c>
      <c r="AD32" s="556">
        <v>97.29</v>
      </c>
      <c r="AE32" s="550">
        <v>-902</v>
      </c>
      <c r="AF32" s="549">
        <v>148</v>
      </c>
      <c r="AG32" s="550">
        <v>44941</v>
      </c>
      <c r="AH32" s="549">
        <v>285</v>
      </c>
      <c r="AI32" s="550">
        <v>50427820.100000001</v>
      </c>
      <c r="AJ32" s="549">
        <v>40212</v>
      </c>
      <c r="AK32" s="550">
        <v>0</v>
      </c>
      <c r="AL32" s="549">
        <v>1488.45</v>
      </c>
      <c r="AM32" s="473">
        <f t="shared" si="3"/>
        <v>59853.551399999997</v>
      </c>
      <c r="AN32" s="141"/>
      <c r="AO32" s="566"/>
      <c r="AP32" s="567"/>
    </row>
    <row r="33" spans="1:42">
      <c r="A33" s="471">
        <v>22</v>
      </c>
      <c r="B33" s="481" t="s">
        <v>94</v>
      </c>
      <c r="C33" s="472" t="s">
        <v>95</v>
      </c>
      <c r="D33" s="550">
        <v>15649</v>
      </c>
      <c r="E33" s="549">
        <v>15488</v>
      </c>
      <c r="F33" s="550">
        <v>14824</v>
      </c>
      <c r="G33" s="549">
        <f t="shared" si="0"/>
        <v>45961</v>
      </c>
      <c r="H33" s="550">
        <v>17347</v>
      </c>
      <c r="I33" s="549">
        <v>13469</v>
      </c>
      <c r="J33" s="550">
        <v>13136</v>
      </c>
      <c r="K33" s="550">
        <f t="shared" si="1"/>
        <v>43952</v>
      </c>
      <c r="L33" s="549">
        <v>0</v>
      </c>
      <c r="M33" s="550">
        <v>0</v>
      </c>
      <c r="N33" s="549">
        <v>0</v>
      </c>
      <c r="O33" s="518">
        <f t="shared" si="2"/>
        <v>0</v>
      </c>
      <c r="P33" s="549">
        <v>50684</v>
      </c>
      <c r="Q33" s="550">
        <v>495</v>
      </c>
      <c r="R33" s="549">
        <v>47888</v>
      </c>
      <c r="S33" s="550">
        <v>48383</v>
      </c>
      <c r="T33" s="556">
        <v>95.46</v>
      </c>
      <c r="U33" s="550">
        <v>1795</v>
      </c>
      <c r="V33" s="549">
        <v>595</v>
      </c>
      <c r="W33" s="550">
        <v>50278</v>
      </c>
      <c r="X33" s="549">
        <v>6729</v>
      </c>
      <c r="Y33" s="550">
        <v>0</v>
      </c>
      <c r="Z33" s="549">
        <v>49653</v>
      </c>
      <c r="AA33" s="550">
        <v>294</v>
      </c>
      <c r="AB33" s="549">
        <v>46504</v>
      </c>
      <c r="AC33" s="550">
        <v>46798</v>
      </c>
      <c r="AD33" s="556">
        <v>94.25</v>
      </c>
      <c r="AE33" s="550">
        <v>-795</v>
      </c>
      <c r="AF33" s="549">
        <v>215</v>
      </c>
      <c r="AG33" s="550">
        <v>45924</v>
      </c>
      <c r="AH33" s="549">
        <v>5737</v>
      </c>
      <c r="AI33" s="550">
        <v>52745018.730000004</v>
      </c>
      <c r="AJ33" s="549">
        <v>46686</v>
      </c>
      <c r="AK33" s="550">
        <v>0</v>
      </c>
      <c r="AL33" s="549">
        <v>1522.57</v>
      </c>
      <c r="AM33" s="473">
        <f t="shared" si="3"/>
        <v>71082.703020000001</v>
      </c>
      <c r="AN33" s="141"/>
      <c r="AO33" s="566"/>
      <c r="AP33" s="567"/>
    </row>
    <row r="34" spans="1:42">
      <c r="A34" s="471">
        <v>23</v>
      </c>
      <c r="B34" s="481" t="s">
        <v>96</v>
      </c>
      <c r="C34" s="472" t="s">
        <v>97</v>
      </c>
      <c r="D34" s="550">
        <v>9108</v>
      </c>
      <c r="E34" s="549">
        <v>9019</v>
      </c>
      <c r="F34" s="550">
        <v>8607</v>
      </c>
      <c r="G34" s="549">
        <f t="shared" si="0"/>
        <v>26734</v>
      </c>
      <c r="H34" s="550">
        <v>6793</v>
      </c>
      <c r="I34" s="549">
        <v>6837</v>
      </c>
      <c r="J34" s="550">
        <v>5466</v>
      </c>
      <c r="K34" s="550">
        <f t="shared" si="1"/>
        <v>19096</v>
      </c>
      <c r="L34" s="549">
        <v>0</v>
      </c>
      <c r="M34" s="550">
        <v>0</v>
      </c>
      <c r="N34" s="549">
        <v>0</v>
      </c>
      <c r="O34" s="518">
        <f t="shared" si="2"/>
        <v>0</v>
      </c>
      <c r="P34" s="549">
        <v>29685</v>
      </c>
      <c r="Q34" s="550">
        <v>575</v>
      </c>
      <c r="R34" s="549">
        <v>28459</v>
      </c>
      <c r="S34" s="550">
        <v>29034</v>
      </c>
      <c r="T34" s="556">
        <v>97.81</v>
      </c>
      <c r="U34" s="550">
        <v>410</v>
      </c>
      <c r="V34" s="549">
        <v>622</v>
      </c>
      <c r="W34" s="550">
        <v>29491</v>
      </c>
      <c r="X34" s="549">
        <v>3895</v>
      </c>
      <c r="Y34" s="550">
        <v>0</v>
      </c>
      <c r="Z34" s="549">
        <v>20494</v>
      </c>
      <c r="AA34" s="550">
        <v>124</v>
      </c>
      <c r="AB34" s="549">
        <v>20187</v>
      </c>
      <c r="AC34" s="550">
        <v>20311</v>
      </c>
      <c r="AD34" s="556">
        <v>99.11</v>
      </c>
      <c r="AE34" s="550">
        <v>-169</v>
      </c>
      <c r="AF34" s="549">
        <v>214</v>
      </c>
      <c r="AG34" s="550">
        <v>20232</v>
      </c>
      <c r="AH34" s="549">
        <v>2131</v>
      </c>
      <c r="AI34" s="550">
        <v>21286815.93</v>
      </c>
      <c r="AJ34" s="549">
        <v>23213.64</v>
      </c>
      <c r="AK34" s="550">
        <v>0</v>
      </c>
      <c r="AL34" s="549">
        <v>1580.15</v>
      </c>
      <c r="AM34" s="473">
        <f t="shared" si="3"/>
        <v>36681.033245999999</v>
      </c>
      <c r="AN34" s="141"/>
      <c r="AO34" s="566"/>
      <c r="AP34" s="567"/>
    </row>
    <row r="35" spans="1:42">
      <c r="A35" s="471">
        <v>24</v>
      </c>
      <c r="B35" s="481" t="s">
        <v>98</v>
      </c>
      <c r="C35" s="472" t="s">
        <v>99</v>
      </c>
      <c r="D35" s="550">
        <v>29008</v>
      </c>
      <c r="E35" s="549">
        <v>28869</v>
      </c>
      <c r="F35" s="550">
        <v>28523</v>
      </c>
      <c r="G35" s="549">
        <f t="shared" si="0"/>
        <v>86400</v>
      </c>
      <c r="H35" s="550">
        <v>27008</v>
      </c>
      <c r="I35" s="549">
        <v>23662</v>
      </c>
      <c r="J35" s="550">
        <v>23182</v>
      </c>
      <c r="K35" s="550">
        <f t="shared" si="1"/>
        <v>73852</v>
      </c>
      <c r="L35" s="549">
        <v>0</v>
      </c>
      <c r="M35" s="550">
        <v>0</v>
      </c>
      <c r="N35" s="549">
        <v>0</v>
      </c>
      <c r="O35" s="518">
        <f t="shared" si="2"/>
        <v>0</v>
      </c>
      <c r="P35" s="549">
        <v>96162.5</v>
      </c>
      <c r="Q35" s="550">
        <v>1344.36</v>
      </c>
      <c r="R35" s="549">
        <v>91364.23</v>
      </c>
      <c r="S35" s="550">
        <v>92708.58</v>
      </c>
      <c r="T35" s="556">
        <v>96.41</v>
      </c>
      <c r="U35" s="550">
        <v>2334.08</v>
      </c>
      <c r="V35" s="549">
        <v>1372.99</v>
      </c>
      <c r="W35" s="550">
        <v>95071.3</v>
      </c>
      <c r="X35" s="549">
        <v>12988.7</v>
      </c>
      <c r="Y35" s="550">
        <v>0</v>
      </c>
      <c r="Z35" s="549">
        <v>87806.33</v>
      </c>
      <c r="AA35" s="550">
        <v>1548.13</v>
      </c>
      <c r="AB35" s="549">
        <v>82866.259999999995</v>
      </c>
      <c r="AC35" s="550">
        <v>84414.39</v>
      </c>
      <c r="AD35" s="556">
        <v>96.14</v>
      </c>
      <c r="AE35" s="550">
        <v>-1226.99</v>
      </c>
      <c r="AF35" s="549">
        <v>1446.73</v>
      </c>
      <c r="AG35" s="550">
        <v>83086</v>
      </c>
      <c r="AH35" s="549">
        <v>9663.52</v>
      </c>
      <c r="AI35" s="550">
        <v>92599830.520000011</v>
      </c>
      <c r="AJ35" s="549">
        <v>85839</v>
      </c>
      <c r="AK35" s="550">
        <v>0</v>
      </c>
      <c r="AL35" s="549">
        <v>1464.49</v>
      </c>
      <c r="AM35" s="473">
        <f t="shared" si="3"/>
        <v>125710.35711</v>
      </c>
      <c r="AN35" s="141"/>
      <c r="AO35" s="566"/>
      <c r="AP35" s="567"/>
    </row>
    <row r="36" spans="1:42">
      <c r="A36" s="471">
        <v>25</v>
      </c>
      <c r="B36" s="481" t="s">
        <v>100</v>
      </c>
      <c r="C36" s="472" t="s">
        <v>101</v>
      </c>
      <c r="D36" s="550">
        <v>7020</v>
      </c>
      <c r="E36" s="549">
        <v>6975</v>
      </c>
      <c r="F36" s="550">
        <v>7020</v>
      </c>
      <c r="G36" s="549">
        <f t="shared" si="0"/>
        <v>21015</v>
      </c>
      <c r="H36" s="550">
        <v>6261</v>
      </c>
      <c r="I36" s="549">
        <v>4983</v>
      </c>
      <c r="J36" s="550">
        <v>5360</v>
      </c>
      <c r="K36" s="550">
        <f t="shared" si="1"/>
        <v>16604</v>
      </c>
      <c r="L36" s="549">
        <v>0</v>
      </c>
      <c r="M36" s="550">
        <v>0</v>
      </c>
      <c r="N36" s="549">
        <v>0</v>
      </c>
      <c r="O36" s="518">
        <f t="shared" si="2"/>
        <v>0</v>
      </c>
      <c r="P36" s="549">
        <v>23879</v>
      </c>
      <c r="Q36" s="550">
        <v>375</v>
      </c>
      <c r="R36" s="549">
        <v>22560</v>
      </c>
      <c r="S36" s="550">
        <v>22935</v>
      </c>
      <c r="T36" s="556">
        <v>96.05</v>
      </c>
      <c r="U36" s="550">
        <v>587</v>
      </c>
      <c r="V36" s="549">
        <v>403</v>
      </c>
      <c r="W36" s="550">
        <v>23550</v>
      </c>
      <c r="X36" s="549">
        <v>3589</v>
      </c>
      <c r="Y36" s="550">
        <v>0</v>
      </c>
      <c r="Z36" s="549">
        <v>18797</v>
      </c>
      <c r="AA36" s="550">
        <v>94</v>
      </c>
      <c r="AB36" s="549">
        <v>18210</v>
      </c>
      <c r="AC36" s="550">
        <v>18304</v>
      </c>
      <c r="AD36" s="556">
        <v>97.38</v>
      </c>
      <c r="AE36" s="550">
        <v>-282</v>
      </c>
      <c r="AF36" s="549">
        <v>85</v>
      </c>
      <c r="AG36" s="550">
        <v>18013</v>
      </c>
      <c r="AH36" s="549">
        <v>2340</v>
      </c>
      <c r="AI36" s="550">
        <v>19892153.890000001</v>
      </c>
      <c r="AJ36" s="549">
        <v>20045.7</v>
      </c>
      <c r="AK36" s="550">
        <v>0</v>
      </c>
      <c r="AL36" s="549">
        <v>1441.74</v>
      </c>
      <c r="AM36" s="473">
        <f t="shared" si="3"/>
        <v>28900.687518000002</v>
      </c>
      <c r="AN36" s="141"/>
      <c r="AO36" s="566"/>
      <c r="AP36" s="567"/>
    </row>
    <row r="37" spans="1:42">
      <c r="A37" s="471">
        <v>26</v>
      </c>
      <c r="B37" s="481" t="s">
        <v>102</v>
      </c>
      <c r="C37" s="472" t="s">
        <v>103</v>
      </c>
      <c r="D37" s="550">
        <v>24424</v>
      </c>
      <c r="E37" s="549">
        <v>23581</v>
      </c>
      <c r="F37" s="550">
        <v>23959</v>
      </c>
      <c r="G37" s="549">
        <f t="shared" si="0"/>
        <v>71964</v>
      </c>
      <c r="H37" s="550">
        <v>21294</v>
      </c>
      <c r="I37" s="549">
        <v>18090</v>
      </c>
      <c r="J37" s="550">
        <v>17856</v>
      </c>
      <c r="K37" s="550">
        <f t="shared" si="1"/>
        <v>57240</v>
      </c>
      <c r="L37" s="549">
        <v>0</v>
      </c>
      <c r="M37" s="550">
        <v>0</v>
      </c>
      <c r="N37" s="549">
        <v>0</v>
      </c>
      <c r="O37" s="518">
        <f t="shared" si="2"/>
        <v>0</v>
      </c>
      <c r="P37" s="549">
        <v>84455</v>
      </c>
      <c r="Q37" s="550">
        <v>1503</v>
      </c>
      <c r="R37" s="549">
        <v>80407</v>
      </c>
      <c r="S37" s="550">
        <v>81910</v>
      </c>
      <c r="T37" s="556">
        <v>96.99</v>
      </c>
      <c r="U37" s="550">
        <v>1907</v>
      </c>
      <c r="V37" s="549">
        <v>1097</v>
      </c>
      <c r="W37" s="550">
        <v>83411</v>
      </c>
      <c r="X37" s="549">
        <v>13552</v>
      </c>
      <c r="Y37" s="550">
        <v>0</v>
      </c>
      <c r="Z37" s="549">
        <v>65519</v>
      </c>
      <c r="AA37" s="550">
        <v>1807</v>
      </c>
      <c r="AB37" s="549">
        <v>62836</v>
      </c>
      <c r="AC37" s="550">
        <v>64643</v>
      </c>
      <c r="AD37" s="556">
        <v>98.66</v>
      </c>
      <c r="AE37" s="550">
        <v>-1538</v>
      </c>
      <c r="AF37" s="549">
        <v>211</v>
      </c>
      <c r="AG37" s="550">
        <v>61509</v>
      </c>
      <c r="AH37" s="549">
        <v>5577</v>
      </c>
      <c r="AI37" s="550">
        <v>69140109.540000007</v>
      </c>
      <c r="AJ37" s="549">
        <v>64861</v>
      </c>
      <c r="AK37" s="550">
        <v>0</v>
      </c>
      <c r="AL37" s="549">
        <v>1498.68</v>
      </c>
      <c r="AM37" s="473">
        <f t="shared" si="3"/>
        <v>97205.883480000004</v>
      </c>
      <c r="AN37" s="141"/>
      <c r="AO37" s="566"/>
      <c r="AP37" s="567"/>
    </row>
    <row r="38" spans="1:42">
      <c r="A38" s="471">
        <v>27</v>
      </c>
      <c r="B38" s="481" t="s">
        <v>104</v>
      </c>
      <c r="C38" s="472" t="s">
        <v>105</v>
      </c>
      <c r="D38" s="550">
        <v>16574</v>
      </c>
      <c r="E38" s="549">
        <v>16462</v>
      </c>
      <c r="F38" s="550">
        <v>16360</v>
      </c>
      <c r="G38" s="549">
        <f t="shared" si="0"/>
        <v>49396</v>
      </c>
      <c r="H38" s="550">
        <v>20180</v>
      </c>
      <c r="I38" s="549">
        <v>15266</v>
      </c>
      <c r="J38" s="550">
        <v>26299</v>
      </c>
      <c r="K38" s="550">
        <f t="shared" si="1"/>
        <v>61745</v>
      </c>
      <c r="L38" s="549">
        <v>0</v>
      </c>
      <c r="M38" s="550">
        <v>0</v>
      </c>
      <c r="N38" s="549">
        <v>0</v>
      </c>
      <c r="O38" s="518">
        <f t="shared" si="2"/>
        <v>0</v>
      </c>
      <c r="P38" s="549">
        <v>55625</v>
      </c>
      <c r="Q38" s="550">
        <v>432</v>
      </c>
      <c r="R38" s="549">
        <v>53858</v>
      </c>
      <c r="S38" s="550">
        <v>54290</v>
      </c>
      <c r="T38" s="556">
        <v>97.6</v>
      </c>
      <c r="U38" s="550">
        <v>1257</v>
      </c>
      <c r="V38" s="549">
        <v>491</v>
      </c>
      <c r="W38" s="550">
        <v>55606</v>
      </c>
      <c r="X38" s="549">
        <v>7712</v>
      </c>
      <c r="Y38" s="550">
        <v>0</v>
      </c>
      <c r="Z38" s="549">
        <v>55529</v>
      </c>
      <c r="AA38" s="550">
        <v>641</v>
      </c>
      <c r="AB38" s="549">
        <v>53356</v>
      </c>
      <c r="AC38" s="550">
        <v>53997</v>
      </c>
      <c r="AD38" s="556">
        <v>97.24</v>
      </c>
      <c r="AE38" s="550">
        <v>-2265</v>
      </c>
      <c r="AF38" s="549">
        <v>1001</v>
      </c>
      <c r="AG38" s="550">
        <v>52092</v>
      </c>
      <c r="AH38" s="549">
        <v>3475</v>
      </c>
      <c r="AI38" s="550">
        <v>57785779.199999996</v>
      </c>
      <c r="AJ38" s="549">
        <v>45627.8</v>
      </c>
      <c r="AK38" s="550">
        <v>251.3</v>
      </c>
      <c r="AL38" s="549">
        <v>1376.24</v>
      </c>
      <c r="AM38" s="473">
        <f t="shared" si="3"/>
        <v>63140.652584000003</v>
      </c>
      <c r="AN38" s="141"/>
      <c r="AO38" s="566"/>
      <c r="AP38" s="567"/>
    </row>
    <row r="39" spans="1:42">
      <c r="A39" s="471">
        <v>28</v>
      </c>
      <c r="B39" s="481" t="s">
        <v>106</v>
      </c>
      <c r="C39" s="472" t="s">
        <v>107</v>
      </c>
      <c r="D39" s="550">
        <v>44394</v>
      </c>
      <c r="E39" s="549">
        <v>44798</v>
      </c>
      <c r="F39" s="550">
        <v>44369</v>
      </c>
      <c r="G39" s="549">
        <f t="shared" si="0"/>
        <v>133561</v>
      </c>
      <c r="H39" s="550">
        <v>46975</v>
      </c>
      <c r="I39" s="549">
        <v>34027</v>
      </c>
      <c r="J39" s="550">
        <v>35684</v>
      </c>
      <c r="K39" s="550">
        <f t="shared" si="1"/>
        <v>116686</v>
      </c>
      <c r="L39" s="549">
        <v>0</v>
      </c>
      <c r="M39" s="550">
        <v>0</v>
      </c>
      <c r="N39" s="549">
        <v>0</v>
      </c>
      <c r="O39" s="518">
        <f t="shared" si="2"/>
        <v>0</v>
      </c>
      <c r="P39" s="549">
        <v>153765</v>
      </c>
      <c r="Q39" s="550">
        <v>1044</v>
      </c>
      <c r="R39" s="549">
        <v>145754</v>
      </c>
      <c r="S39" s="550">
        <v>146798</v>
      </c>
      <c r="T39" s="556">
        <v>95.47</v>
      </c>
      <c r="U39" s="550">
        <v>5921</v>
      </c>
      <c r="V39" s="549">
        <v>1181</v>
      </c>
      <c r="W39" s="550">
        <v>152856</v>
      </c>
      <c r="X39" s="549">
        <v>30526</v>
      </c>
      <c r="Y39" s="550">
        <v>0</v>
      </c>
      <c r="Z39" s="549">
        <v>140297</v>
      </c>
      <c r="AA39" s="550">
        <v>283</v>
      </c>
      <c r="AB39" s="549">
        <v>135516</v>
      </c>
      <c r="AC39" s="550">
        <v>135799</v>
      </c>
      <c r="AD39" s="556">
        <v>96.79</v>
      </c>
      <c r="AE39" s="550">
        <v>500</v>
      </c>
      <c r="AF39" s="549">
        <v>442</v>
      </c>
      <c r="AG39" s="550">
        <v>136458</v>
      </c>
      <c r="AH39" s="549">
        <v>23226</v>
      </c>
      <c r="AI39" s="550">
        <v>144229006.15000001</v>
      </c>
      <c r="AJ39" s="549">
        <v>152092</v>
      </c>
      <c r="AK39" s="550">
        <v>0</v>
      </c>
      <c r="AL39" s="549">
        <v>1317.52</v>
      </c>
      <c r="AM39" s="473">
        <f t="shared" si="3"/>
        <v>200384.25184000001</v>
      </c>
      <c r="AN39" s="141"/>
      <c r="AO39" s="566"/>
      <c r="AP39" s="567"/>
    </row>
    <row r="40" spans="1:42">
      <c r="A40" s="471">
        <v>29</v>
      </c>
      <c r="B40" s="481" t="s">
        <v>108</v>
      </c>
      <c r="C40" s="472" t="s">
        <v>109</v>
      </c>
      <c r="D40" s="550">
        <v>21971</v>
      </c>
      <c r="E40" s="549">
        <v>21379</v>
      </c>
      <c r="F40" s="550">
        <v>20992</v>
      </c>
      <c r="G40" s="549">
        <f t="shared" si="0"/>
        <v>64342</v>
      </c>
      <c r="H40" s="550">
        <v>13382</v>
      </c>
      <c r="I40" s="549">
        <v>11368</v>
      </c>
      <c r="J40" s="550">
        <v>11339</v>
      </c>
      <c r="K40" s="550">
        <f t="shared" si="1"/>
        <v>36089</v>
      </c>
      <c r="L40" s="549">
        <v>0</v>
      </c>
      <c r="M40" s="550">
        <v>0</v>
      </c>
      <c r="N40" s="549">
        <v>0</v>
      </c>
      <c r="O40" s="518">
        <f t="shared" si="2"/>
        <v>0</v>
      </c>
      <c r="P40" s="549">
        <v>70630</v>
      </c>
      <c r="Q40" s="550">
        <v>1004</v>
      </c>
      <c r="R40" s="549">
        <v>68660</v>
      </c>
      <c r="S40" s="550">
        <v>69664</v>
      </c>
      <c r="T40" s="556">
        <v>98.63</v>
      </c>
      <c r="U40" s="550">
        <v>1001</v>
      </c>
      <c r="V40" s="549">
        <v>880</v>
      </c>
      <c r="W40" s="550">
        <v>70541</v>
      </c>
      <c r="X40" s="549">
        <v>8153</v>
      </c>
      <c r="Y40" s="550">
        <v>0</v>
      </c>
      <c r="Z40" s="549">
        <v>38729</v>
      </c>
      <c r="AA40" s="550">
        <v>293</v>
      </c>
      <c r="AB40" s="549">
        <v>37931</v>
      </c>
      <c r="AC40" s="550">
        <v>38224</v>
      </c>
      <c r="AD40" s="556">
        <v>98.7</v>
      </c>
      <c r="AE40" s="550">
        <v>-554</v>
      </c>
      <c r="AF40" s="549">
        <v>160</v>
      </c>
      <c r="AG40" s="550">
        <v>37537</v>
      </c>
      <c r="AH40" s="549">
        <v>3216</v>
      </c>
      <c r="AI40" s="550">
        <v>41903684.890000001</v>
      </c>
      <c r="AJ40" s="549">
        <v>55015.63</v>
      </c>
      <c r="AK40" s="550">
        <v>0</v>
      </c>
      <c r="AL40" s="549">
        <v>1489.27</v>
      </c>
      <c r="AM40" s="473">
        <f t="shared" si="3"/>
        <v>81933.12729009999</v>
      </c>
      <c r="AN40" s="141"/>
      <c r="AO40" s="566"/>
      <c r="AP40" s="567"/>
    </row>
    <row r="41" spans="1:42">
      <c r="A41" s="471">
        <v>30</v>
      </c>
      <c r="B41" s="481" t="s">
        <v>110</v>
      </c>
      <c r="C41" s="472" t="s">
        <v>111</v>
      </c>
      <c r="D41" s="550">
        <v>16307</v>
      </c>
      <c r="E41" s="549">
        <v>15913</v>
      </c>
      <c r="F41" s="550">
        <v>16230</v>
      </c>
      <c r="G41" s="549">
        <f t="shared" si="0"/>
        <v>48450</v>
      </c>
      <c r="H41" s="550">
        <v>9007</v>
      </c>
      <c r="I41" s="549">
        <v>9190</v>
      </c>
      <c r="J41" s="550">
        <v>7972</v>
      </c>
      <c r="K41" s="550">
        <f t="shared" si="1"/>
        <v>26169</v>
      </c>
      <c r="L41" s="549">
        <v>0</v>
      </c>
      <c r="M41" s="550">
        <v>0</v>
      </c>
      <c r="N41" s="549">
        <v>0</v>
      </c>
      <c r="O41" s="518">
        <f t="shared" si="2"/>
        <v>0</v>
      </c>
      <c r="P41" s="549">
        <v>55397</v>
      </c>
      <c r="Q41" s="550">
        <v>779</v>
      </c>
      <c r="R41" s="549">
        <v>53616</v>
      </c>
      <c r="S41" s="550">
        <v>54395</v>
      </c>
      <c r="T41" s="556">
        <v>98.19</v>
      </c>
      <c r="U41" s="550">
        <v>555</v>
      </c>
      <c r="V41" s="549">
        <v>674</v>
      </c>
      <c r="W41" s="550">
        <v>54845</v>
      </c>
      <c r="X41" s="549">
        <v>7968</v>
      </c>
      <c r="Y41" s="550">
        <v>0</v>
      </c>
      <c r="Z41" s="549">
        <v>28501</v>
      </c>
      <c r="AA41" s="550">
        <v>281</v>
      </c>
      <c r="AB41" s="549">
        <v>27791</v>
      </c>
      <c r="AC41" s="550">
        <v>28072</v>
      </c>
      <c r="AD41" s="556">
        <v>98.49</v>
      </c>
      <c r="AE41" s="550">
        <v>275</v>
      </c>
      <c r="AF41" s="549">
        <v>42</v>
      </c>
      <c r="AG41" s="550">
        <v>28108</v>
      </c>
      <c r="AH41" s="549">
        <v>2800</v>
      </c>
      <c r="AI41" s="550">
        <v>29844702.029999997</v>
      </c>
      <c r="AJ41" s="549">
        <v>43985.1</v>
      </c>
      <c r="AK41" s="550">
        <v>241.3</v>
      </c>
      <c r="AL41" s="549">
        <v>1484.8</v>
      </c>
      <c r="AM41" s="473">
        <f t="shared" si="3"/>
        <v>65667.358720000004</v>
      </c>
      <c r="AN41" s="141"/>
      <c r="AO41" s="566"/>
      <c r="AP41" s="567"/>
    </row>
    <row r="42" spans="1:42">
      <c r="A42" s="471">
        <v>31</v>
      </c>
      <c r="B42" s="481" t="s">
        <v>112</v>
      </c>
      <c r="C42" s="472" t="s">
        <v>113</v>
      </c>
      <c r="D42" s="550">
        <v>32028</v>
      </c>
      <c r="E42" s="549">
        <v>30671</v>
      </c>
      <c r="F42" s="550">
        <v>29826</v>
      </c>
      <c r="G42" s="549">
        <f t="shared" si="0"/>
        <v>92525</v>
      </c>
      <c r="H42" s="550">
        <v>32938</v>
      </c>
      <c r="I42" s="549">
        <v>33375</v>
      </c>
      <c r="J42" s="550">
        <v>34752</v>
      </c>
      <c r="K42" s="550">
        <f t="shared" si="1"/>
        <v>101065</v>
      </c>
      <c r="L42" s="549">
        <v>0</v>
      </c>
      <c r="M42" s="550">
        <v>0</v>
      </c>
      <c r="N42" s="549">
        <v>0</v>
      </c>
      <c r="O42" s="518">
        <f t="shared" si="2"/>
        <v>0</v>
      </c>
      <c r="P42" s="549">
        <v>103850</v>
      </c>
      <c r="Q42" s="550">
        <v>3414</v>
      </c>
      <c r="R42" s="549">
        <v>96151</v>
      </c>
      <c r="S42" s="550">
        <v>99565</v>
      </c>
      <c r="T42" s="556">
        <v>95.87</v>
      </c>
      <c r="U42" s="550">
        <v>3168</v>
      </c>
      <c r="V42" s="549">
        <v>2978</v>
      </c>
      <c r="W42" s="550">
        <v>102297</v>
      </c>
      <c r="X42" s="549">
        <v>14866</v>
      </c>
      <c r="Y42" s="550">
        <v>0</v>
      </c>
      <c r="Z42" s="549">
        <v>107004</v>
      </c>
      <c r="AA42" s="550">
        <v>420</v>
      </c>
      <c r="AB42" s="549">
        <v>103596</v>
      </c>
      <c r="AC42" s="550">
        <v>104016</v>
      </c>
      <c r="AD42" s="556">
        <v>97.21</v>
      </c>
      <c r="AE42" s="550">
        <v>-1691</v>
      </c>
      <c r="AF42" s="549">
        <v>315</v>
      </c>
      <c r="AG42" s="550">
        <v>102220</v>
      </c>
      <c r="AH42" s="549">
        <v>11743</v>
      </c>
      <c r="AI42" s="550">
        <v>110669076.01000001</v>
      </c>
      <c r="AJ42" s="549">
        <v>101875.1</v>
      </c>
      <c r="AK42" s="550">
        <v>0</v>
      </c>
      <c r="AL42" s="549">
        <v>1361.94</v>
      </c>
      <c r="AM42" s="473">
        <f t="shared" si="3"/>
        <v>138747.773694</v>
      </c>
      <c r="AN42" s="141"/>
      <c r="AO42" s="566"/>
      <c r="AP42" s="567"/>
    </row>
    <row r="43" spans="1:42">
      <c r="A43" s="471">
        <v>32</v>
      </c>
      <c r="B43" s="481" t="s">
        <v>114</v>
      </c>
      <c r="C43" s="472" t="s">
        <v>115</v>
      </c>
      <c r="D43" s="550">
        <v>13829</v>
      </c>
      <c r="E43" s="549">
        <v>13551</v>
      </c>
      <c r="F43" s="550">
        <v>13211</v>
      </c>
      <c r="G43" s="549">
        <f t="shared" si="0"/>
        <v>40591</v>
      </c>
      <c r="H43" s="550">
        <v>9387</v>
      </c>
      <c r="I43" s="549">
        <v>8455</v>
      </c>
      <c r="J43" s="550">
        <v>8457</v>
      </c>
      <c r="K43" s="550">
        <f t="shared" si="1"/>
        <v>26299</v>
      </c>
      <c r="L43" s="549">
        <v>0</v>
      </c>
      <c r="M43" s="550">
        <v>0</v>
      </c>
      <c r="N43" s="549">
        <v>0</v>
      </c>
      <c r="O43" s="518">
        <f t="shared" si="2"/>
        <v>0</v>
      </c>
      <c r="P43" s="549">
        <v>45036</v>
      </c>
      <c r="Q43" s="550">
        <v>395</v>
      </c>
      <c r="R43" s="549">
        <v>43774</v>
      </c>
      <c r="S43" s="550">
        <v>44169</v>
      </c>
      <c r="T43" s="556">
        <v>98.07</v>
      </c>
      <c r="U43" s="550">
        <v>1385</v>
      </c>
      <c r="V43" s="549">
        <v>357</v>
      </c>
      <c r="W43" s="550">
        <v>45516</v>
      </c>
      <c r="X43" s="549">
        <v>5890</v>
      </c>
      <c r="Y43" s="550">
        <v>0</v>
      </c>
      <c r="Z43" s="549">
        <v>29832</v>
      </c>
      <c r="AA43" s="550">
        <v>321</v>
      </c>
      <c r="AB43" s="549">
        <v>28118</v>
      </c>
      <c r="AC43" s="550">
        <v>28439</v>
      </c>
      <c r="AD43" s="556">
        <v>95.33</v>
      </c>
      <c r="AE43" s="550">
        <v>1533</v>
      </c>
      <c r="AF43" s="549">
        <v>40</v>
      </c>
      <c r="AG43" s="550">
        <v>29691</v>
      </c>
      <c r="AH43" s="549">
        <v>4486</v>
      </c>
      <c r="AI43" s="550">
        <v>31331296.149999999</v>
      </c>
      <c r="AJ43" s="549">
        <v>33898.6</v>
      </c>
      <c r="AK43" s="550">
        <v>0</v>
      </c>
      <c r="AL43" s="549">
        <v>1474.48</v>
      </c>
      <c r="AM43" s="473">
        <f t="shared" si="3"/>
        <v>49982.807728</v>
      </c>
      <c r="AN43" s="141"/>
      <c r="AO43" s="566"/>
      <c r="AP43" s="567"/>
    </row>
    <row r="44" spans="1:42">
      <c r="A44" s="471">
        <v>33</v>
      </c>
      <c r="B44" s="481" t="s">
        <v>116</v>
      </c>
      <c r="C44" s="472" t="s">
        <v>117</v>
      </c>
      <c r="D44" s="550">
        <v>34912</v>
      </c>
      <c r="E44" s="549">
        <v>33916</v>
      </c>
      <c r="F44" s="550">
        <v>33940</v>
      </c>
      <c r="G44" s="549">
        <f t="shared" si="0"/>
        <v>102768</v>
      </c>
      <c r="H44" s="550">
        <v>35349</v>
      </c>
      <c r="I44" s="549">
        <v>28058</v>
      </c>
      <c r="J44" s="550">
        <v>28609</v>
      </c>
      <c r="K44" s="550">
        <f t="shared" si="1"/>
        <v>92016</v>
      </c>
      <c r="L44" s="549">
        <v>0</v>
      </c>
      <c r="M44" s="550">
        <v>0</v>
      </c>
      <c r="N44" s="549">
        <v>0</v>
      </c>
      <c r="O44" s="518">
        <f t="shared" si="2"/>
        <v>0</v>
      </c>
      <c r="P44" s="549">
        <v>117428</v>
      </c>
      <c r="Q44" s="550">
        <v>1692</v>
      </c>
      <c r="R44" s="549">
        <v>112989</v>
      </c>
      <c r="S44" s="550">
        <v>114681</v>
      </c>
      <c r="T44" s="556">
        <v>97.66</v>
      </c>
      <c r="U44" s="550">
        <v>1780</v>
      </c>
      <c r="V44" s="549">
        <v>1406</v>
      </c>
      <c r="W44" s="550">
        <v>116175</v>
      </c>
      <c r="X44" s="549">
        <v>17286</v>
      </c>
      <c r="Y44" s="550">
        <v>0</v>
      </c>
      <c r="Z44" s="549">
        <v>103213</v>
      </c>
      <c r="AA44" s="550">
        <v>1928</v>
      </c>
      <c r="AB44" s="549">
        <v>99556</v>
      </c>
      <c r="AC44" s="550">
        <v>101484</v>
      </c>
      <c r="AD44" s="556">
        <v>98.32</v>
      </c>
      <c r="AE44" s="550">
        <v>-2314</v>
      </c>
      <c r="AF44" s="549">
        <v>1102</v>
      </c>
      <c r="AG44" s="550">
        <v>98344</v>
      </c>
      <c r="AH44" s="549">
        <v>9997</v>
      </c>
      <c r="AI44" s="550">
        <v>106802167.79000001</v>
      </c>
      <c r="AJ44" s="549">
        <v>96548.18</v>
      </c>
      <c r="AK44" s="550">
        <v>5.67</v>
      </c>
      <c r="AL44" s="549">
        <v>1508.09</v>
      </c>
      <c r="AM44" s="473">
        <f t="shared" si="3"/>
        <v>145611.89564649999</v>
      </c>
      <c r="AN44" s="141"/>
      <c r="AO44" s="566"/>
      <c r="AP44" s="567"/>
    </row>
    <row r="45" spans="1:42">
      <c r="A45" s="471">
        <v>34</v>
      </c>
      <c r="B45" s="481" t="s">
        <v>118</v>
      </c>
      <c r="C45" s="472" t="s">
        <v>119</v>
      </c>
      <c r="D45" s="550">
        <v>51889</v>
      </c>
      <c r="E45" s="549">
        <v>52437</v>
      </c>
      <c r="F45" s="550">
        <v>53046</v>
      </c>
      <c r="G45" s="549">
        <f t="shared" si="0"/>
        <v>157372</v>
      </c>
      <c r="H45" s="550">
        <v>61523</v>
      </c>
      <c r="I45" s="549">
        <v>57922</v>
      </c>
      <c r="J45" s="550">
        <v>57291</v>
      </c>
      <c r="K45" s="550">
        <f t="shared" si="1"/>
        <v>176736</v>
      </c>
      <c r="L45" s="549">
        <v>0</v>
      </c>
      <c r="M45" s="550">
        <v>0</v>
      </c>
      <c r="N45" s="549">
        <v>0</v>
      </c>
      <c r="O45" s="518">
        <f t="shared" si="2"/>
        <v>0</v>
      </c>
      <c r="P45" s="549">
        <v>177501</v>
      </c>
      <c r="Q45" s="550">
        <v>1753</v>
      </c>
      <c r="R45" s="549">
        <v>169617</v>
      </c>
      <c r="S45" s="550">
        <v>171370</v>
      </c>
      <c r="T45" s="556">
        <v>96.55</v>
      </c>
      <c r="U45" s="550">
        <v>3314</v>
      </c>
      <c r="V45" s="549">
        <v>2506</v>
      </c>
      <c r="W45" s="550">
        <v>175437</v>
      </c>
      <c r="X45" s="549">
        <v>25214</v>
      </c>
      <c r="Y45" s="550">
        <v>0</v>
      </c>
      <c r="Z45" s="549">
        <v>201690</v>
      </c>
      <c r="AA45" s="550">
        <v>2552</v>
      </c>
      <c r="AB45" s="549">
        <v>194548</v>
      </c>
      <c r="AC45" s="550">
        <v>197100</v>
      </c>
      <c r="AD45" s="556">
        <v>97.72</v>
      </c>
      <c r="AE45" s="550">
        <v>-4297</v>
      </c>
      <c r="AF45" s="549">
        <v>797</v>
      </c>
      <c r="AG45" s="550">
        <v>191048</v>
      </c>
      <c r="AH45" s="549">
        <v>18414</v>
      </c>
      <c r="AI45" s="550">
        <v>209678957.19999999</v>
      </c>
      <c r="AJ45" s="549">
        <v>137633</v>
      </c>
      <c r="AK45" s="550">
        <v>17</v>
      </c>
      <c r="AL45" s="549">
        <v>1597.3</v>
      </c>
      <c r="AM45" s="473">
        <f t="shared" si="3"/>
        <v>219868.345</v>
      </c>
      <c r="AN45" s="141"/>
      <c r="AO45" s="566"/>
      <c r="AP45" s="567"/>
    </row>
    <row r="46" spans="1:42">
      <c r="A46" s="471">
        <v>35</v>
      </c>
      <c r="B46" s="481" t="s">
        <v>120</v>
      </c>
      <c r="C46" s="472" t="s">
        <v>121</v>
      </c>
      <c r="D46" s="550">
        <v>18605</v>
      </c>
      <c r="E46" s="549">
        <v>17532</v>
      </c>
      <c r="F46" s="550">
        <v>18296</v>
      </c>
      <c r="G46" s="549">
        <f t="shared" si="0"/>
        <v>54433</v>
      </c>
      <c r="H46" s="550">
        <v>8998</v>
      </c>
      <c r="I46" s="549">
        <v>9694</v>
      </c>
      <c r="J46" s="550">
        <v>8304</v>
      </c>
      <c r="K46" s="550">
        <f t="shared" si="1"/>
        <v>26996</v>
      </c>
      <c r="L46" s="549">
        <v>0</v>
      </c>
      <c r="M46" s="550">
        <v>0</v>
      </c>
      <c r="N46" s="549">
        <v>0</v>
      </c>
      <c r="O46" s="518">
        <f t="shared" si="2"/>
        <v>0</v>
      </c>
      <c r="P46" s="549">
        <v>62975</v>
      </c>
      <c r="Q46" s="550">
        <v>483</v>
      </c>
      <c r="R46" s="549">
        <v>61830</v>
      </c>
      <c r="S46" s="550">
        <v>62313</v>
      </c>
      <c r="T46" s="556">
        <v>98.95</v>
      </c>
      <c r="U46" s="550">
        <v>174</v>
      </c>
      <c r="V46" s="549">
        <v>533</v>
      </c>
      <c r="W46" s="550">
        <v>62537</v>
      </c>
      <c r="X46" s="549">
        <v>9263</v>
      </c>
      <c r="Y46" s="550">
        <v>0</v>
      </c>
      <c r="Z46" s="549">
        <v>28500</v>
      </c>
      <c r="AA46" s="550">
        <v>212</v>
      </c>
      <c r="AB46" s="549">
        <v>28029</v>
      </c>
      <c r="AC46" s="550">
        <v>28241</v>
      </c>
      <c r="AD46" s="556">
        <v>99.09</v>
      </c>
      <c r="AE46" s="550">
        <v>-377</v>
      </c>
      <c r="AF46" s="549">
        <v>227</v>
      </c>
      <c r="AG46" s="550">
        <v>27879</v>
      </c>
      <c r="AH46" s="549">
        <v>2364</v>
      </c>
      <c r="AI46" s="550">
        <v>29673110.25</v>
      </c>
      <c r="AJ46" s="549">
        <v>47300</v>
      </c>
      <c r="AK46" s="550">
        <v>43</v>
      </c>
      <c r="AL46" s="549">
        <v>1518.5</v>
      </c>
      <c r="AM46" s="473">
        <f t="shared" si="3"/>
        <v>71890.345499999996</v>
      </c>
      <c r="AN46" s="141"/>
      <c r="AO46" s="566"/>
      <c r="AP46" s="567"/>
    </row>
    <row r="47" spans="1:42">
      <c r="A47" s="471">
        <v>36</v>
      </c>
      <c r="B47" s="481" t="s">
        <v>122</v>
      </c>
      <c r="C47" s="472" t="s">
        <v>123</v>
      </c>
      <c r="D47" s="550">
        <v>48252</v>
      </c>
      <c r="E47" s="549">
        <v>47331</v>
      </c>
      <c r="F47" s="550">
        <v>47294</v>
      </c>
      <c r="G47" s="549">
        <f t="shared" si="0"/>
        <v>142877</v>
      </c>
      <c r="H47" s="550">
        <v>25983</v>
      </c>
      <c r="I47" s="549">
        <v>25140</v>
      </c>
      <c r="J47" s="550">
        <v>23941</v>
      </c>
      <c r="K47" s="550">
        <f t="shared" si="1"/>
        <v>75064</v>
      </c>
      <c r="L47" s="549">
        <v>0</v>
      </c>
      <c r="M47" s="550">
        <v>0</v>
      </c>
      <c r="N47" s="549">
        <v>0</v>
      </c>
      <c r="O47" s="518">
        <f t="shared" si="2"/>
        <v>0</v>
      </c>
      <c r="P47" s="549">
        <v>160591</v>
      </c>
      <c r="Q47" s="550">
        <v>2891</v>
      </c>
      <c r="R47" s="549">
        <v>154143</v>
      </c>
      <c r="S47" s="550">
        <v>157034</v>
      </c>
      <c r="T47" s="556">
        <v>97.79</v>
      </c>
      <c r="U47" s="550">
        <v>1768</v>
      </c>
      <c r="V47" s="549">
        <v>2777</v>
      </c>
      <c r="W47" s="550">
        <v>158688</v>
      </c>
      <c r="X47" s="549">
        <v>19978</v>
      </c>
      <c r="Y47" s="550">
        <v>0</v>
      </c>
      <c r="Z47" s="549">
        <v>83411</v>
      </c>
      <c r="AA47" s="550">
        <v>2523</v>
      </c>
      <c r="AB47" s="549">
        <v>79831</v>
      </c>
      <c r="AC47" s="550">
        <v>82354</v>
      </c>
      <c r="AD47" s="556">
        <v>98.73</v>
      </c>
      <c r="AE47" s="550">
        <v>-1360</v>
      </c>
      <c r="AF47" s="549">
        <v>1945</v>
      </c>
      <c r="AG47" s="550">
        <v>80416</v>
      </c>
      <c r="AH47" s="549">
        <v>9185</v>
      </c>
      <c r="AI47" s="550">
        <v>85941588.640000001</v>
      </c>
      <c r="AJ47" s="549">
        <v>139101.82</v>
      </c>
      <c r="AK47" s="550">
        <v>66.400000000000006</v>
      </c>
      <c r="AL47" s="549">
        <v>1313.07</v>
      </c>
      <c r="AM47" s="473">
        <f t="shared" si="3"/>
        <v>182737.61463540001</v>
      </c>
      <c r="AN47" s="141"/>
      <c r="AO47" s="566"/>
      <c r="AP47" s="567"/>
    </row>
    <row r="48" spans="1:42">
      <c r="A48" s="471">
        <v>37</v>
      </c>
      <c r="B48" s="481" t="s">
        <v>124</v>
      </c>
      <c r="C48" s="472" t="s">
        <v>125</v>
      </c>
      <c r="D48" s="550">
        <v>15369</v>
      </c>
      <c r="E48" s="549">
        <v>14960</v>
      </c>
      <c r="F48" s="550">
        <v>14887</v>
      </c>
      <c r="G48" s="549">
        <f t="shared" si="0"/>
        <v>45216</v>
      </c>
      <c r="H48" s="550">
        <v>8779</v>
      </c>
      <c r="I48" s="549">
        <v>8813</v>
      </c>
      <c r="J48" s="550">
        <v>6977</v>
      </c>
      <c r="K48" s="550">
        <f t="shared" si="1"/>
        <v>24569</v>
      </c>
      <c r="L48" s="549">
        <v>0</v>
      </c>
      <c r="M48" s="550">
        <v>0</v>
      </c>
      <c r="N48" s="549">
        <v>0</v>
      </c>
      <c r="O48" s="518">
        <f t="shared" si="2"/>
        <v>0</v>
      </c>
      <c r="P48" s="549">
        <v>51031</v>
      </c>
      <c r="Q48" s="550">
        <v>585</v>
      </c>
      <c r="R48" s="549">
        <v>49795</v>
      </c>
      <c r="S48" s="550">
        <v>50380</v>
      </c>
      <c r="T48" s="556">
        <v>98.72</v>
      </c>
      <c r="U48" s="550">
        <v>492</v>
      </c>
      <c r="V48" s="549">
        <v>532</v>
      </c>
      <c r="W48" s="550">
        <v>50819</v>
      </c>
      <c r="X48" s="549">
        <v>6057</v>
      </c>
      <c r="Y48" s="550">
        <v>0</v>
      </c>
      <c r="Z48" s="549">
        <v>26426</v>
      </c>
      <c r="AA48" s="550">
        <v>121</v>
      </c>
      <c r="AB48" s="549">
        <v>25582</v>
      </c>
      <c r="AC48" s="550">
        <v>25703</v>
      </c>
      <c r="AD48" s="556">
        <v>97.26</v>
      </c>
      <c r="AE48" s="550">
        <v>1</v>
      </c>
      <c r="AF48" s="549">
        <v>292</v>
      </c>
      <c r="AG48" s="550">
        <v>25875</v>
      </c>
      <c r="AH48" s="549">
        <v>2631</v>
      </c>
      <c r="AI48" s="550">
        <v>27491941.399999999</v>
      </c>
      <c r="AJ48" s="549">
        <v>37165.699999999997</v>
      </c>
      <c r="AK48" s="550">
        <v>0</v>
      </c>
      <c r="AL48" s="549">
        <v>1508.66</v>
      </c>
      <c r="AM48" s="473">
        <f t="shared" si="3"/>
        <v>56070.404962000001</v>
      </c>
      <c r="AN48" s="141"/>
      <c r="AO48" s="566"/>
      <c r="AP48" s="567"/>
    </row>
    <row r="49" spans="1:42">
      <c r="A49" s="471">
        <v>38</v>
      </c>
      <c r="B49" s="481" t="s">
        <v>126</v>
      </c>
      <c r="C49" s="472" t="s">
        <v>127</v>
      </c>
      <c r="D49" s="550">
        <v>12048</v>
      </c>
      <c r="E49" s="549">
        <v>11557</v>
      </c>
      <c r="F49" s="550">
        <v>11650</v>
      </c>
      <c r="G49" s="549">
        <f t="shared" si="0"/>
        <v>35255</v>
      </c>
      <c r="H49" s="550">
        <v>12076</v>
      </c>
      <c r="I49" s="549">
        <v>10300</v>
      </c>
      <c r="J49" s="550">
        <v>10185</v>
      </c>
      <c r="K49" s="550">
        <f t="shared" si="1"/>
        <v>32561</v>
      </c>
      <c r="L49" s="549">
        <v>0</v>
      </c>
      <c r="M49" s="550">
        <v>0</v>
      </c>
      <c r="N49" s="549">
        <v>0</v>
      </c>
      <c r="O49" s="518">
        <f t="shared" si="2"/>
        <v>0</v>
      </c>
      <c r="P49" s="549">
        <v>45042</v>
      </c>
      <c r="Q49" s="550">
        <v>553</v>
      </c>
      <c r="R49" s="549">
        <v>43655</v>
      </c>
      <c r="S49" s="550">
        <v>44208</v>
      </c>
      <c r="T49" s="556">
        <v>98.15</v>
      </c>
      <c r="U49" s="550">
        <v>203</v>
      </c>
      <c r="V49" s="549">
        <v>375</v>
      </c>
      <c r="W49" s="550">
        <v>44233</v>
      </c>
      <c r="X49" s="549">
        <v>10407</v>
      </c>
      <c r="Y49" s="550">
        <v>0</v>
      </c>
      <c r="Z49" s="549">
        <v>38213</v>
      </c>
      <c r="AA49" s="550">
        <v>98</v>
      </c>
      <c r="AB49" s="549">
        <v>37710</v>
      </c>
      <c r="AC49" s="550">
        <v>37808</v>
      </c>
      <c r="AD49" s="556">
        <v>98.94</v>
      </c>
      <c r="AE49" s="550">
        <v>296</v>
      </c>
      <c r="AF49" s="549">
        <v>97</v>
      </c>
      <c r="AG49" s="550">
        <v>38103</v>
      </c>
      <c r="AH49" s="549">
        <v>6888</v>
      </c>
      <c r="AI49" s="550">
        <v>41801536.520000003</v>
      </c>
      <c r="AJ49" s="549">
        <v>38258.9</v>
      </c>
      <c r="AK49" s="550">
        <v>0</v>
      </c>
      <c r="AL49" s="549">
        <v>1379.89</v>
      </c>
      <c r="AM49" s="473">
        <f t="shared" si="3"/>
        <v>52793.073521000006</v>
      </c>
      <c r="AN49" s="141"/>
      <c r="AO49" s="566"/>
      <c r="AP49" s="567"/>
    </row>
    <row r="50" spans="1:42">
      <c r="A50" s="471">
        <v>39</v>
      </c>
      <c r="B50" s="481" t="s">
        <v>128</v>
      </c>
      <c r="C50" s="472" t="s">
        <v>129</v>
      </c>
      <c r="D50" s="550">
        <v>15265</v>
      </c>
      <c r="E50" s="549">
        <v>14972</v>
      </c>
      <c r="F50" s="550">
        <v>15064</v>
      </c>
      <c r="G50" s="549">
        <f t="shared" si="0"/>
        <v>45301</v>
      </c>
      <c r="H50" s="550">
        <v>8172</v>
      </c>
      <c r="I50" s="549">
        <v>7162</v>
      </c>
      <c r="J50" s="550">
        <v>6429</v>
      </c>
      <c r="K50" s="550">
        <f t="shared" si="1"/>
        <v>21763</v>
      </c>
      <c r="L50" s="549">
        <v>0</v>
      </c>
      <c r="M50" s="550">
        <v>0</v>
      </c>
      <c r="N50" s="549">
        <v>0</v>
      </c>
      <c r="O50" s="518">
        <f t="shared" si="2"/>
        <v>0</v>
      </c>
      <c r="P50" s="549">
        <v>50819</v>
      </c>
      <c r="Q50" s="550">
        <v>687</v>
      </c>
      <c r="R50" s="549">
        <v>49300</v>
      </c>
      <c r="S50" s="550">
        <v>49987</v>
      </c>
      <c r="T50" s="556">
        <v>98.36</v>
      </c>
      <c r="U50" s="550">
        <v>412</v>
      </c>
      <c r="V50" s="549">
        <v>579</v>
      </c>
      <c r="W50" s="550">
        <v>50291</v>
      </c>
      <c r="X50" s="549">
        <v>6767</v>
      </c>
      <c r="Y50" s="550">
        <v>0</v>
      </c>
      <c r="Z50" s="549">
        <v>25079</v>
      </c>
      <c r="AA50" s="550">
        <v>217</v>
      </c>
      <c r="AB50" s="549">
        <v>24185</v>
      </c>
      <c r="AC50" s="550">
        <v>24402</v>
      </c>
      <c r="AD50" s="556">
        <v>97.3</v>
      </c>
      <c r="AE50" s="550">
        <v>121</v>
      </c>
      <c r="AF50" s="549">
        <v>125</v>
      </c>
      <c r="AG50" s="550">
        <v>24431</v>
      </c>
      <c r="AH50" s="549">
        <v>2927</v>
      </c>
      <c r="AI50" s="550">
        <v>25705512.059999999</v>
      </c>
      <c r="AJ50" s="549">
        <v>36922.25</v>
      </c>
      <c r="AK50" s="550">
        <v>163.80000000000001</v>
      </c>
      <c r="AL50" s="549">
        <v>1617.06</v>
      </c>
      <c r="AM50" s="473">
        <f t="shared" si="3"/>
        <v>59970.368013000007</v>
      </c>
      <c r="AN50" s="141"/>
      <c r="AO50" s="566"/>
      <c r="AP50" s="567"/>
    </row>
    <row r="51" spans="1:42">
      <c r="A51" s="471">
        <v>40</v>
      </c>
      <c r="B51" s="481" t="s">
        <v>130</v>
      </c>
      <c r="C51" s="472" t="s">
        <v>131</v>
      </c>
      <c r="D51" s="550">
        <v>9346</v>
      </c>
      <c r="E51" s="549">
        <v>9188</v>
      </c>
      <c r="F51" s="550">
        <v>9110</v>
      </c>
      <c r="G51" s="549">
        <f t="shared" si="0"/>
        <v>27644</v>
      </c>
      <c r="H51" s="550">
        <v>8273</v>
      </c>
      <c r="I51" s="549">
        <v>8616</v>
      </c>
      <c r="J51" s="550">
        <v>6954</v>
      </c>
      <c r="K51" s="550">
        <f t="shared" si="1"/>
        <v>23843</v>
      </c>
      <c r="L51" s="549">
        <v>0</v>
      </c>
      <c r="M51" s="550">
        <v>0</v>
      </c>
      <c r="N51" s="549">
        <v>0</v>
      </c>
      <c r="O51" s="518">
        <f t="shared" si="2"/>
        <v>0</v>
      </c>
      <c r="P51" s="549">
        <v>31673</v>
      </c>
      <c r="Q51" s="550">
        <v>700</v>
      </c>
      <c r="R51" s="549">
        <v>30032</v>
      </c>
      <c r="S51" s="550">
        <v>30732</v>
      </c>
      <c r="T51" s="556">
        <v>97.03</v>
      </c>
      <c r="U51" s="550">
        <v>612</v>
      </c>
      <c r="V51" s="549">
        <v>578</v>
      </c>
      <c r="W51" s="550">
        <v>31222</v>
      </c>
      <c r="X51" s="549">
        <v>4989</v>
      </c>
      <c r="Y51" s="550">
        <v>0</v>
      </c>
      <c r="Z51" s="549">
        <v>26833</v>
      </c>
      <c r="AA51" s="550">
        <v>429</v>
      </c>
      <c r="AB51" s="549">
        <v>25944</v>
      </c>
      <c r="AC51" s="550">
        <v>26373</v>
      </c>
      <c r="AD51" s="556">
        <v>98.29</v>
      </c>
      <c r="AE51" s="550">
        <v>-500</v>
      </c>
      <c r="AF51" s="549">
        <v>324</v>
      </c>
      <c r="AG51" s="550">
        <v>25768</v>
      </c>
      <c r="AH51" s="549">
        <v>2858</v>
      </c>
      <c r="AI51" s="550">
        <v>27790725.059999999</v>
      </c>
      <c r="AJ51" s="549">
        <v>27130.2</v>
      </c>
      <c r="AK51" s="550">
        <v>0</v>
      </c>
      <c r="AL51" s="549">
        <v>1567.2</v>
      </c>
      <c r="AM51" s="473">
        <f t="shared" si="3"/>
        <v>42518.449440000004</v>
      </c>
      <c r="AN51" s="141"/>
      <c r="AO51" s="566"/>
      <c r="AP51" s="567"/>
    </row>
    <row r="52" spans="1:42">
      <c r="A52" s="471">
        <v>41</v>
      </c>
      <c r="B52" s="481" t="s">
        <v>132</v>
      </c>
      <c r="C52" s="472" t="s">
        <v>133</v>
      </c>
      <c r="D52" s="550">
        <v>22533</v>
      </c>
      <c r="E52" s="549">
        <v>22114</v>
      </c>
      <c r="F52" s="550">
        <v>21766</v>
      </c>
      <c r="G52" s="549">
        <f t="shared" si="0"/>
        <v>66413</v>
      </c>
      <c r="H52" s="550">
        <v>16907</v>
      </c>
      <c r="I52" s="549">
        <v>13424</v>
      </c>
      <c r="J52" s="550">
        <v>12898</v>
      </c>
      <c r="K52" s="550">
        <f t="shared" si="1"/>
        <v>43229</v>
      </c>
      <c r="L52" s="549">
        <v>0</v>
      </c>
      <c r="M52" s="550">
        <v>0</v>
      </c>
      <c r="N52" s="549">
        <v>0</v>
      </c>
      <c r="O52" s="518">
        <f t="shared" si="2"/>
        <v>0</v>
      </c>
      <c r="P52" s="549">
        <v>73523</v>
      </c>
      <c r="Q52" s="550">
        <v>1559</v>
      </c>
      <c r="R52" s="549">
        <v>70004</v>
      </c>
      <c r="S52" s="550">
        <v>71563</v>
      </c>
      <c r="T52" s="556">
        <v>97.33</v>
      </c>
      <c r="U52" s="550">
        <v>772</v>
      </c>
      <c r="V52" s="549">
        <v>1478</v>
      </c>
      <c r="W52" s="550">
        <v>72254</v>
      </c>
      <c r="X52" s="549">
        <v>9851</v>
      </c>
      <c r="Y52" s="550">
        <v>0</v>
      </c>
      <c r="Z52" s="549">
        <v>51082</v>
      </c>
      <c r="AA52" s="550">
        <v>1467</v>
      </c>
      <c r="AB52" s="549">
        <v>46513</v>
      </c>
      <c r="AC52" s="550">
        <v>47980</v>
      </c>
      <c r="AD52" s="556">
        <v>93.93</v>
      </c>
      <c r="AE52" s="550">
        <v>-2528</v>
      </c>
      <c r="AF52" s="549">
        <v>1000</v>
      </c>
      <c r="AG52" s="550">
        <v>44985</v>
      </c>
      <c r="AH52" s="549">
        <v>3450</v>
      </c>
      <c r="AI52" s="550">
        <v>54111643.289999999</v>
      </c>
      <c r="AJ52" s="549">
        <v>61146.97</v>
      </c>
      <c r="AK52" s="550">
        <v>0</v>
      </c>
      <c r="AL52" s="549">
        <v>1510.81</v>
      </c>
      <c r="AM52" s="473">
        <f t="shared" si="3"/>
        <v>92381.453745699997</v>
      </c>
      <c r="AN52" s="141"/>
      <c r="AO52" s="566"/>
      <c r="AP52" s="567"/>
    </row>
    <row r="53" spans="1:42">
      <c r="A53" s="471">
        <v>42</v>
      </c>
      <c r="B53" s="481" t="s">
        <v>134</v>
      </c>
      <c r="C53" s="472" t="s">
        <v>135</v>
      </c>
      <c r="D53" s="550">
        <v>23777</v>
      </c>
      <c r="E53" s="549">
        <v>24054</v>
      </c>
      <c r="F53" s="550">
        <v>23251</v>
      </c>
      <c r="G53" s="549">
        <f t="shared" si="0"/>
        <v>71082</v>
      </c>
      <c r="H53" s="550">
        <v>18436</v>
      </c>
      <c r="I53" s="549">
        <v>18414</v>
      </c>
      <c r="J53" s="550">
        <v>16309</v>
      </c>
      <c r="K53" s="550">
        <f t="shared" si="1"/>
        <v>53159</v>
      </c>
      <c r="L53" s="549">
        <v>0</v>
      </c>
      <c r="M53" s="550">
        <v>0</v>
      </c>
      <c r="N53" s="549">
        <v>0</v>
      </c>
      <c r="O53" s="518">
        <f t="shared" si="2"/>
        <v>0</v>
      </c>
      <c r="P53" s="549">
        <v>79731</v>
      </c>
      <c r="Q53" s="550">
        <v>754</v>
      </c>
      <c r="R53" s="549">
        <v>75655</v>
      </c>
      <c r="S53" s="550">
        <v>76409</v>
      </c>
      <c r="T53" s="556">
        <v>95.83</v>
      </c>
      <c r="U53" s="550">
        <v>1697</v>
      </c>
      <c r="V53" s="549">
        <v>674</v>
      </c>
      <c r="W53" s="550">
        <v>78026</v>
      </c>
      <c r="X53" s="549">
        <v>9947</v>
      </c>
      <c r="Y53" s="550">
        <v>0</v>
      </c>
      <c r="Z53" s="549">
        <v>57338</v>
      </c>
      <c r="AA53" s="550">
        <v>470</v>
      </c>
      <c r="AB53" s="549">
        <v>54777</v>
      </c>
      <c r="AC53" s="550">
        <v>55247</v>
      </c>
      <c r="AD53" s="556">
        <v>96.35</v>
      </c>
      <c r="AE53" s="550">
        <v>-569</v>
      </c>
      <c r="AF53" s="549">
        <v>671</v>
      </c>
      <c r="AG53" s="550">
        <v>54879</v>
      </c>
      <c r="AH53" s="549">
        <v>6261</v>
      </c>
      <c r="AI53" s="550">
        <v>59896145.210000001</v>
      </c>
      <c r="AJ53" s="549">
        <v>69044.75</v>
      </c>
      <c r="AK53" s="550">
        <v>0</v>
      </c>
      <c r="AL53" s="549">
        <v>1452.2</v>
      </c>
      <c r="AM53" s="473">
        <f t="shared" si="3"/>
        <v>100266.78595</v>
      </c>
      <c r="AN53" s="141"/>
      <c r="AO53" s="566"/>
      <c r="AP53" s="567"/>
    </row>
    <row r="54" spans="1:42">
      <c r="A54" s="471">
        <v>43</v>
      </c>
      <c r="B54" s="481" t="s">
        <v>136</v>
      </c>
      <c r="C54" s="472" t="s">
        <v>137</v>
      </c>
      <c r="D54" s="550">
        <v>16964</v>
      </c>
      <c r="E54" s="549">
        <v>16261</v>
      </c>
      <c r="F54" s="550">
        <v>15551</v>
      </c>
      <c r="G54" s="549">
        <f t="shared" si="0"/>
        <v>48776</v>
      </c>
      <c r="H54" s="550">
        <v>30666</v>
      </c>
      <c r="I54" s="549">
        <v>26764</v>
      </c>
      <c r="J54" s="550">
        <v>27510</v>
      </c>
      <c r="K54" s="550">
        <f t="shared" si="1"/>
        <v>84940</v>
      </c>
      <c r="L54" s="549">
        <v>0</v>
      </c>
      <c r="M54" s="550">
        <v>0</v>
      </c>
      <c r="N54" s="549">
        <v>0</v>
      </c>
      <c r="O54" s="518">
        <f t="shared" si="2"/>
        <v>0</v>
      </c>
      <c r="P54" s="549">
        <v>54153</v>
      </c>
      <c r="Q54" s="550">
        <v>777</v>
      </c>
      <c r="R54" s="549">
        <v>52053</v>
      </c>
      <c r="S54" s="550">
        <v>52830</v>
      </c>
      <c r="T54" s="556">
        <v>97.56</v>
      </c>
      <c r="U54" s="550">
        <v>617</v>
      </c>
      <c r="V54" s="549">
        <v>772</v>
      </c>
      <c r="W54" s="550">
        <v>53442</v>
      </c>
      <c r="X54" s="549">
        <v>7200</v>
      </c>
      <c r="Y54" s="550">
        <v>0</v>
      </c>
      <c r="Z54" s="549">
        <v>92568</v>
      </c>
      <c r="AA54" s="550">
        <v>877</v>
      </c>
      <c r="AB54" s="549">
        <v>90855</v>
      </c>
      <c r="AC54" s="550">
        <v>91732</v>
      </c>
      <c r="AD54" s="556">
        <v>99.1</v>
      </c>
      <c r="AE54" s="550">
        <v>-1325</v>
      </c>
      <c r="AF54" s="549">
        <v>795</v>
      </c>
      <c r="AG54" s="550">
        <v>90325</v>
      </c>
      <c r="AH54" s="549">
        <v>10064</v>
      </c>
      <c r="AI54" s="550">
        <v>96353957.38000001</v>
      </c>
      <c r="AJ54" s="549">
        <v>41393.9</v>
      </c>
      <c r="AK54" s="550">
        <v>1</v>
      </c>
      <c r="AL54" s="549">
        <v>1512.16</v>
      </c>
      <c r="AM54" s="473">
        <f t="shared" si="3"/>
        <v>62595.711984000001</v>
      </c>
      <c r="AN54" s="141"/>
      <c r="AO54" s="566"/>
      <c r="AP54" s="567"/>
    </row>
    <row r="55" spans="1:42">
      <c r="A55" s="471">
        <v>44</v>
      </c>
      <c r="B55" s="481" t="s">
        <v>138</v>
      </c>
      <c r="C55" s="472" t="s">
        <v>139</v>
      </c>
      <c r="D55" s="550">
        <v>30151</v>
      </c>
      <c r="E55" s="549">
        <v>27467</v>
      </c>
      <c r="F55" s="550">
        <v>26867</v>
      </c>
      <c r="G55" s="549">
        <f t="shared" si="0"/>
        <v>84485</v>
      </c>
      <c r="H55" s="550">
        <v>163195</v>
      </c>
      <c r="I55" s="549">
        <v>137880</v>
      </c>
      <c r="J55" s="550">
        <v>132856</v>
      </c>
      <c r="K55" s="550">
        <f t="shared" si="1"/>
        <v>433931</v>
      </c>
      <c r="L55" s="549">
        <v>0</v>
      </c>
      <c r="M55" s="550">
        <v>0</v>
      </c>
      <c r="N55" s="549">
        <v>0</v>
      </c>
      <c r="O55" s="518">
        <f t="shared" si="2"/>
        <v>0</v>
      </c>
      <c r="P55" s="549">
        <v>105614</v>
      </c>
      <c r="Q55" s="550">
        <v>4266</v>
      </c>
      <c r="R55" s="549">
        <v>97934</v>
      </c>
      <c r="S55" s="550">
        <v>102200</v>
      </c>
      <c r="T55" s="556">
        <v>96.77</v>
      </c>
      <c r="U55" s="550">
        <v>1950</v>
      </c>
      <c r="V55" s="549">
        <v>3770</v>
      </c>
      <c r="W55" s="550">
        <v>103654</v>
      </c>
      <c r="X55" s="549">
        <v>22487</v>
      </c>
      <c r="Y55" s="550">
        <v>0</v>
      </c>
      <c r="Z55" s="549">
        <v>486030</v>
      </c>
      <c r="AA55" s="550">
        <v>6412</v>
      </c>
      <c r="AB55" s="549">
        <v>475643</v>
      </c>
      <c r="AC55" s="550">
        <v>482055</v>
      </c>
      <c r="AD55" s="556">
        <v>99.18</v>
      </c>
      <c r="AE55" s="550">
        <v>-8268</v>
      </c>
      <c r="AF55" s="549">
        <v>5492</v>
      </c>
      <c r="AG55" s="550">
        <v>472867</v>
      </c>
      <c r="AH55" s="549">
        <v>49001</v>
      </c>
      <c r="AI55" s="550">
        <v>513126240.85000002</v>
      </c>
      <c r="AJ55" s="549">
        <v>103247.4</v>
      </c>
      <c r="AK55" s="550">
        <v>26.95</v>
      </c>
      <c r="AL55" s="549">
        <v>1324.77</v>
      </c>
      <c r="AM55" s="473">
        <f t="shared" si="3"/>
        <v>136814.76064949998</v>
      </c>
      <c r="AN55" s="141"/>
      <c r="AO55" s="566"/>
      <c r="AP55" s="567"/>
    </row>
    <row r="56" spans="1:42">
      <c r="A56" s="471">
        <v>45</v>
      </c>
      <c r="B56" s="481" t="s">
        <v>140</v>
      </c>
      <c r="C56" s="472" t="s">
        <v>141</v>
      </c>
      <c r="D56" s="550">
        <v>11049</v>
      </c>
      <c r="E56" s="549">
        <v>10982</v>
      </c>
      <c r="F56" s="550">
        <v>11149</v>
      </c>
      <c r="G56" s="549">
        <f t="shared" si="0"/>
        <v>33180</v>
      </c>
      <c r="H56" s="550">
        <v>9448</v>
      </c>
      <c r="I56" s="549">
        <v>10531</v>
      </c>
      <c r="J56" s="550">
        <v>8647</v>
      </c>
      <c r="K56" s="550">
        <f t="shared" si="1"/>
        <v>28626</v>
      </c>
      <c r="L56" s="549">
        <v>0</v>
      </c>
      <c r="M56" s="550">
        <v>0</v>
      </c>
      <c r="N56" s="549">
        <v>0</v>
      </c>
      <c r="O56" s="518">
        <f t="shared" si="2"/>
        <v>0</v>
      </c>
      <c r="P56" s="549">
        <v>37863</v>
      </c>
      <c r="Q56" s="550">
        <v>316</v>
      </c>
      <c r="R56" s="549">
        <v>36696</v>
      </c>
      <c r="S56" s="550">
        <v>37012</v>
      </c>
      <c r="T56" s="556">
        <v>97.75</v>
      </c>
      <c r="U56" s="550">
        <v>521</v>
      </c>
      <c r="V56" s="549">
        <v>195</v>
      </c>
      <c r="W56" s="550">
        <v>37412</v>
      </c>
      <c r="X56" s="549">
        <v>5168</v>
      </c>
      <c r="Y56" s="550">
        <v>0</v>
      </c>
      <c r="Z56" s="549">
        <v>31945</v>
      </c>
      <c r="AA56" s="550">
        <v>352</v>
      </c>
      <c r="AB56" s="549">
        <v>30723</v>
      </c>
      <c r="AC56" s="550">
        <v>31075</v>
      </c>
      <c r="AD56" s="556">
        <v>97.28</v>
      </c>
      <c r="AE56" s="550">
        <v>-422</v>
      </c>
      <c r="AF56" s="549">
        <v>67</v>
      </c>
      <c r="AG56" s="550">
        <v>30368</v>
      </c>
      <c r="AH56" s="549">
        <v>3937</v>
      </c>
      <c r="AI56" s="550">
        <v>34105725.740000002</v>
      </c>
      <c r="AJ56" s="549">
        <v>31174.1</v>
      </c>
      <c r="AK56" s="550">
        <v>0</v>
      </c>
      <c r="AL56" s="549">
        <v>1494.92</v>
      </c>
      <c r="AM56" s="473">
        <f t="shared" si="3"/>
        <v>46602.785571999993</v>
      </c>
      <c r="AN56" s="141"/>
      <c r="AO56" s="566"/>
      <c r="AP56" s="567"/>
    </row>
    <row r="57" spans="1:42">
      <c r="A57" s="471">
        <v>46</v>
      </c>
      <c r="B57" s="481" t="s">
        <v>142</v>
      </c>
      <c r="C57" s="472" t="s">
        <v>143</v>
      </c>
      <c r="D57" s="550">
        <v>19942</v>
      </c>
      <c r="E57" s="549">
        <v>19609</v>
      </c>
      <c r="F57" s="550">
        <v>19459</v>
      </c>
      <c r="G57" s="549">
        <f t="shared" si="0"/>
        <v>59010</v>
      </c>
      <c r="H57" s="550">
        <v>15774</v>
      </c>
      <c r="I57" s="549">
        <v>16010</v>
      </c>
      <c r="J57" s="550">
        <v>14205</v>
      </c>
      <c r="K57" s="550">
        <f t="shared" si="1"/>
        <v>45989</v>
      </c>
      <c r="L57" s="549">
        <v>0</v>
      </c>
      <c r="M57" s="550">
        <v>0</v>
      </c>
      <c r="N57" s="549">
        <v>0</v>
      </c>
      <c r="O57" s="518">
        <f t="shared" si="2"/>
        <v>0</v>
      </c>
      <c r="P57" s="549">
        <v>65805</v>
      </c>
      <c r="Q57" s="550">
        <v>837</v>
      </c>
      <c r="R57" s="549">
        <v>64245</v>
      </c>
      <c r="S57" s="550">
        <v>65082</v>
      </c>
      <c r="T57" s="556">
        <v>98.9</v>
      </c>
      <c r="U57" s="550">
        <v>309</v>
      </c>
      <c r="V57" s="549">
        <v>822</v>
      </c>
      <c r="W57" s="550">
        <v>65376</v>
      </c>
      <c r="X57" s="549">
        <v>8546</v>
      </c>
      <c r="Y57" s="550">
        <v>0</v>
      </c>
      <c r="Z57" s="549">
        <v>50903</v>
      </c>
      <c r="AA57" s="550">
        <v>1104</v>
      </c>
      <c r="AB57" s="549">
        <v>49460</v>
      </c>
      <c r="AC57" s="550">
        <v>50564</v>
      </c>
      <c r="AD57" s="556">
        <v>99.3</v>
      </c>
      <c r="AE57" s="550">
        <v>-1186</v>
      </c>
      <c r="AF57" s="549">
        <v>468</v>
      </c>
      <c r="AG57" s="550">
        <v>48742</v>
      </c>
      <c r="AH57" s="549">
        <v>5479</v>
      </c>
      <c r="AI57" s="550">
        <v>52761835.199999996</v>
      </c>
      <c r="AJ57" s="549">
        <v>52570.58</v>
      </c>
      <c r="AK57" s="550">
        <v>229.4</v>
      </c>
      <c r="AL57" s="549">
        <v>1451.88</v>
      </c>
      <c r="AM57" s="473">
        <f t="shared" si="3"/>
        <v>76659.234962400005</v>
      </c>
      <c r="AN57" s="141"/>
      <c r="AO57" s="566"/>
      <c r="AP57" s="567"/>
    </row>
    <row r="58" spans="1:42">
      <c r="A58" s="471">
        <v>47</v>
      </c>
      <c r="B58" s="481" t="s">
        <v>144</v>
      </c>
      <c r="C58" s="472" t="s">
        <v>145</v>
      </c>
      <c r="D58" s="550">
        <v>14038</v>
      </c>
      <c r="E58" s="549">
        <v>13833</v>
      </c>
      <c r="F58" s="550">
        <v>14123</v>
      </c>
      <c r="G58" s="549">
        <f t="shared" si="0"/>
        <v>41994</v>
      </c>
      <c r="H58" s="550">
        <v>13490</v>
      </c>
      <c r="I58" s="549">
        <v>11907</v>
      </c>
      <c r="J58" s="550">
        <v>10905</v>
      </c>
      <c r="K58" s="550">
        <f t="shared" si="1"/>
        <v>36302</v>
      </c>
      <c r="L58" s="549">
        <v>0</v>
      </c>
      <c r="M58" s="550">
        <v>0</v>
      </c>
      <c r="N58" s="549">
        <v>0</v>
      </c>
      <c r="O58" s="518">
        <f t="shared" si="2"/>
        <v>0</v>
      </c>
      <c r="P58" s="549">
        <v>47552</v>
      </c>
      <c r="Q58" s="550">
        <v>828</v>
      </c>
      <c r="R58" s="549">
        <v>45669</v>
      </c>
      <c r="S58" s="550">
        <v>46497</v>
      </c>
      <c r="T58" s="556">
        <v>97.78</v>
      </c>
      <c r="U58" s="550">
        <v>785</v>
      </c>
      <c r="V58" s="549">
        <v>746</v>
      </c>
      <c r="W58" s="550">
        <v>47200</v>
      </c>
      <c r="X58" s="549">
        <v>6278</v>
      </c>
      <c r="Y58" s="550">
        <v>0</v>
      </c>
      <c r="Z58" s="549">
        <v>40268</v>
      </c>
      <c r="AA58" s="550">
        <v>919</v>
      </c>
      <c r="AB58" s="549">
        <v>38778</v>
      </c>
      <c r="AC58" s="550">
        <v>39697</v>
      </c>
      <c r="AD58" s="556">
        <v>98.58</v>
      </c>
      <c r="AE58" s="550">
        <v>-121</v>
      </c>
      <c r="AF58" s="549">
        <v>577</v>
      </c>
      <c r="AG58" s="550">
        <v>39234</v>
      </c>
      <c r="AH58" s="549">
        <v>4581</v>
      </c>
      <c r="AI58" s="550">
        <v>42145842.100000001</v>
      </c>
      <c r="AJ58" s="549">
        <v>0</v>
      </c>
      <c r="AK58" s="550">
        <v>0</v>
      </c>
      <c r="AL58" s="549">
        <v>1572.55</v>
      </c>
      <c r="AM58" s="473">
        <f t="shared" si="3"/>
        <v>0</v>
      </c>
      <c r="AN58" s="141"/>
      <c r="AO58" s="566"/>
      <c r="AP58" s="567"/>
    </row>
    <row r="59" spans="1:42">
      <c r="A59" s="471">
        <v>48</v>
      </c>
      <c r="B59" s="481" t="s">
        <v>146</v>
      </c>
      <c r="C59" s="472" t="s">
        <v>147</v>
      </c>
      <c r="D59" s="550">
        <v>12553</v>
      </c>
      <c r="E59" s="549">
        <v>12071</v>
      </c>
      <c r="F59" s="550">
        <v>12175</v>
      </c>
      <c r="G59" s="549">
        <f t="shared" si="0"/>
        <v>36799</v>
      </c>
      <c r="H59" s="550">
        <v>4832</v>
      </c>
      <c r="I59" s="549">
        <v>3974</v>
      </c>
      <c r="J59" s="550">
        <v>4066</v>
      </c>
      <c r="K59" s="550">
        <f t="shared" si="1"/>
        <v>12872</v>
      </c>
      <c r="L59" s="549">
        <v>0</v>
      </c>
      <c r="M59" s="550">
        <v>0</v>
      </c>
      <c r="N59" s="549">
        <v>0</v>
      </c>
      <c r="O59" s="518">
        <f t="shared" si="2"/>
        <v>0</v>
      </c>
      <c r="P59" s="549">
        <v>42603</v>
      </c>
      <c r="Q59" s="550">
        <v>389</v>
      </c>
      <c r="R59" s="549">
        <v>41639</v>
      </c>
      <c r="S59" s="550">
        <v>42028</v>
      </c>
      <c r="T59" s="556">
        <v>98.65</v>
      </c>
      <c r="U59" s="550">
        <v>553</v>
      </c>
      <c r="V59" s="549">
        <v>226</v>
      </c>
      <c r="W59" s="550">
        <v>42418</v>
      </c>
      <c r="X59" s="549">
        <v>6864</v>
      </c>
      <c r="Y59" s="550">
        <v>0</v>
      </c>
      <c r="Z59" s="549">
        <v>14649</v>
      </c>
      <c r="AA59" s="550">
        <v>152</v>
      </c>
      <c r="AB59" s="549">
        <v>14290</v>
      </c>
      <c r="AC59" s="550">
        <v>14442</v>
      </c>
      <c r="AD59" s="556">
        <v>98.59</v>
      </c>
      <c r="AE59" s="550">
        <v>120</v>
      </c>
      <c r="AF59" s="549">
        <v>90</v>
      </c>
      <c r="AG59" s="550">
        <v>14500</v>
      </c>
      <c r="AH59" s="549">
        <v>2406</v>
      </c>
      <c r="AI59" s="550">
        <v>15116457.91</v>
      </c>
      <c r="AJ59" s="549">
        <v>32716</v>
      </c>
      <c r="AK59" s="550">
        <v>0</v>
      </c>
      <c r="AL59" s="549">
        <v>1536.59</v>
      </c>
      <c r="AM59" s="473">
        <f t="shared" si="3"/>
        <v>50271.078439999997</v>
      </c>
      <c r="AN59" s="141"/>
      <c r="AO59" s="566"/>
      <c r="AP59" s="567"/>
    </row>
    <row r="60" spans="1:42">
      <c r="A60" s="471">
        <v>49</v>
      </c>
      <c r="B60" s="481" t="s">
        <v>808</v>
      </c>
      <c r="C60" s="472" t="s">
        <v>816</v>
      </c>
      <c r="D60" s="550">
        <v>41898</v>
      </c>
      <c r="E60" s="549">
        <v>43574</v>
      </c>
      <c r="F60" s="550">
        <v>43468</v>
      </c>
      <c r="G60" s="549">
        <f t="shared" si="0"/>
        <v>128940</v>
      </c>
      <c r="H60" s="550">
        <v>22139</v>
      </c>
      <c r="I60" s="549">
        <v>23275</v>
      </c>
      <c r="J60" s="550">
        <v>23414</v>
      </c>
      <c r="K60" s="550">
        <f t="shared" si="1"/>
        <v>68828</v>
      </c>
      <c r="L60" s="549">
        <v>0</v>
      </c>
      <c r="M60" s="550">
        <v>0</v>
      </c>
      <c r="N60" s="549">
        <v>0</v>
      </c>
      <c r="O60" s="518">
        <f t="shared" si="2"/>
        <v>0</v>
      </c>
      <c r="P60" s="549">
        <v>144867</v>
      </c>
      <c r="Q60" s="550">
        <v>1113</v>
      </c>
      <c r="R60" s="549">
        <v>140700</v>
      </c>
      <c r="S60" s="550">
        <v>141813</v>
      </c>
      <c r="T60" s="556">
        <v>97.89</v>
      </c>
      <c r="U60" s="550">
        <v>2864</v>
      </c>
      <c r="V60" s="549">
        <v>849</v>
      </c>
      <c r="W60" s="550">
        <v>144413</v>
      </c>
      <c r="X60" s="549">
        <v>20378</v>
      </c>
      <c r="Y60" s="550">
        <v>0</v>
      </c>
      <c r="Z60" s="549">
        <v>76020</v>
      </c>
      <c r="AA60" s="550">
        <v>556</v>
      </c>
      <c r="AB60" s="549">
        <v>74437</v>
      </c>
      <c r="AC60" s="550">
        <v>74993</v>
      </c>
      <c r="AD60" s="556">
        <v>98.65</v>
      </c>
      <c r="AE60" s="550">
        <v>1021</v>
      </c>
      <c r="AF60" s="549">
        <v>239</v>
      </c>
      <c r="AG60" s="550">
        <v>75697</v>
      </c>
      <c r="AH60" s="549">
        <v>12199</v>
      </c>
      <c r="AI60" s="550">
        <v>79533747.530000001</v>
      </c>
      <c r="AJ60" s="549">
        <v>100016.1</v>
      </c>
      <c r="AK60" s="550">
        <v>0</v>
      </c>
      <c r="AL60" s="549">
        <v>1652.21</v>
      </c>
      <c r="AM60" s="473">
        <f t="shared" si="3"/>
        <v>165247.60058100001</v>
      </c>
      <c r="AN60" s="141"/>
      <c r="AO60" s="566"/>
      <c r="AP60" s="567"/>
    </row>
    <row r="61" spans="1:42">
      <c r="A61" s="471">
        <v>50</v>
      </c>
      <c r="B61" s="481" t="s">
        <v>148</v>
      </c>
      <c r="C61" s="472" t="s">
        <v>149</v>
      </c>
      <c r="D61" s="550">
        <v>21479</v>
      </c>
      <c r="E61" s="549">
        <v>21533</v>
      </c>
      <c r="F61" s="550">
        <v>21511</v>
      </c>
      <c r="G61" s="549">
        <f t="shared" si="0"/>
        <v>64523</v>
      </c>
      <c r="H61" s="550">
        <v>12795</v>
      </c>
      <c r="I61" s="549">
        <v>12454</v>
      </c>
      <c r="J61" s="550">
        <v>11594</v>
      </c>
      <c r="K61" s="550">
        <f t="shared" si="1"/>
        <v>36843</v>
      </c>
      <c r="L61" s="549">
        <v>0</v>
      </c>
      <c r="M61" s="550">
        <v>0</v>
      </c>
      <c r="N61" s="549">
        <v>0</v>
      </c>
      <c r="O61" s="518">
        <f t="shared" si="2"/>
        <v>0</v>
      </c>
      <c r="P61" s="549">
        <v>72358</v>
      </c>
      <c r="Q61" s="550">
        <v>989</v>
      </c>
      <c r="R61" s="549">
        <v>69861</v>
      </c>
      <c r="S61" s="550">
        <v>70850</v>
      </c>
      <c r="T61" s="556">
        <v>97.92</v>
      </c>
      <c r="U61" s="550">
        <v>466</v>
      </c>
      <c r="V61" s="549">
        <v>946</v>
      </c>
      <c r="W61" s="550">
        <v>71273</v>
      </c>
      <c r="X61" s="549">
        <v>9451</v>
      </c>
      <c r="Y61" s="550">
        <v>0</v>
      </c>
      <c r="Z61" s="549">
        <v>41858</v>
      </c>
      <c r="AA61" s="550">
        <v>852</v>
      </c>
      <c r="AB61" s="549">
        <v>40493</v>
      </c>
      <c r="AC61" s="550">
        <v>41345</v>
      </c>
      <c r="AD61" s="556">
        <v>98.77</v>
      </c>
      <c r="AE61" s="550">
        <v>-1981</v>
      </c>
      <c r="AF61" s="549">
        <v>503</v>
      </c>
      <c r="AG61" s="550">
        <v>39015</v>
      </c>
      <c r="AH61" s="549">
        <v>4260</v>
      </c>
      <c r="AI61" s="550">
        <v>45431664.68</v>
      </c>
      <c r="AJ61" s="549">
        <v>57199.1</v>
      </c>
      <c r="AK61" s="550">
        <v>0</v>
      </c>
      <c r="AL61" s="549">
        <v>1471.04</v>
      </c>
      <c r="AM61" s="473">
        <f t="shared" si="3"/>
        <v>84142.164063999997</v>
      </c>
      <c r="AN61" s="141"/>
      <c r="AO61" s="566"/>
      <c r="AP61" s="567"/>
    </row>
    <row r="62" spans="1:42">
      <c r="A62" s="471">
        <v>51</v>
      </c>
      <c r="B62" s="481" t="s">
        <v>150</v>
      </c>
      <c r="C62" s="472" t="s">
        <v>151</v>
      </c>
      <c r="D62" s="550">
        <v>26909</v>
      </c>
      <c r="E62" s="549">
        <v>26265</v>
      </c>
      <c r="F62" s="550">
        <v>26341</v>
      </c>
      <c r="G62" s="549">
        <f t="shared" si="0"/>
        <v>79515</v>
      </c>
      <c r="H62" s="550">
        <v>25544</v>
      </c>
      <c r="I62" s="549">
        <v>21287</v>
      </c>
      <c r="J62" s="550">
        <v>21056</v>
      </c>
      <c r="K62" s="550">
        <f t="shared" si="1"/>
        <v>67887</v>
      </c>
      <c r="L62" s="549">
        <v>0</v>
      </c>
      <c r="M62" s="550">
        <v>0</v>
      </c>
      <c r="N62" s="549">
        <v>0</v>
      </c>
      <c r="O62" s="518">
        <f t="shared" si="2"/>
        <v>0</v>
      </c>
      <c r="P62" s="549">
        <v>88750</v>
      </c>
      <c r="Q62" s="550">
        <v>796</v>
      </c>
      <c r="R62" s="549">
        <v>86643</v>
      </c>
      <c r="S62" s="550">
        <v>87439</v>
      </c>
      <c r="T62" s="556">
        <v>98.52</v>
      </c>
      <c r="U62" s="550">
        <v>869</v>
      </c>
      <c r="V62" s="549">
        <v>886</v>
      </c>
      <c r="W62" s="550">
        <v>88398</v>
      </c>
      <c r="X62" s="549">
        <v>10830</v>
      </c>
      <c r="Y62" s="550">
        <v>0</v>
      </c>
      <c r="Z62" s="549">
        <v>76822</v>
      </c>
      <c r="AA62" s="550">
        <v>2443</v>
      </c>
      <c r="AB62" s="549">
        <v>72246</v>
      </c>
      <c r="AC62" s="550">
        <v>74689</v>
      </c>
      <c r="AD62" s="556">
        <v>97.22</v>
      </c>
      <c r="AE62" s="550">
        <v>-2448</v>
      </c>
      <c r="AF62" s="549">
        <v>1401</v>
      </c>
      <c r="AG62" s="550">
        <v>71199</v>
      </c>
      <c r="AH62" s="549">
        <v>5825</v>
      </c>
      <c r="AI62" s="550">
        <v>81922941.460000008</v>
      </c>
      <c r="AJ62" s="549">
        <v>66386.31</v>
      </c>
      <c r="AK62" s="550">
        <v>0</v>
      </c>
      <c r="AL62" s="549">
        <v>1498.35</v>
      </c>
      <c r="AM62" s="473">
        <f t="shared" si="3"/>
        <v>99469.927588499995</v>
      </c>
      <c r="AN62" s="141"/>
      <c r="AO62" s="566"/>
      <c r="AP62" s="567"/>
    </row>
    <row r="63" spans="1:42">
      <c r="A63" s="471">
        <v>52</v>
      </c>
      <c r="B63" s="481" t="s">
        <v>152</v>
      </c>
      <c r="C63" s="472" t="s">
        <v>153</v>
      </c>
      <c r="D63" s="550">
        <v>16735</v>
      </c>
      <c r="E63" s="549">
        <v>16581</v>
      </c>
      <c r="F63" s="550">
        <v>16728</v>
      </c>
      <c r="G63" s="549">
        <f t="shared" si="0"/>
        <v>50044</v>
      </c>
      <c r="H63" s="550">
        <v>14790</v>
      </c>
      <c r="I63" s="549">
        <v>15874</v>
      </c>
      <c r="J63" s="550">
        <v>14497</v>
      </c>
      <c r="K63" s="550">
        <f t="shared" si="1"/>
        <v>45161</v>
      </c>
      <c r="L63" s="549">
        <v>0</v>
      </c>
      <c r="M63" s="550">
        <v>0</v>
      </c>
      <c r="N63" s="549">
        <v>0</v>
      </c>
      <c r="O63" s="518">
        <f t="shared" si="2"/>
        <v>0</v>
      </c>
      <c r="P63" s="549">
        <v>56385</v>
      </c>
      <c r="Q63" s="550">
        <v>508</v>
      </c>
      <c r="R63" s="549">
        <v>54874</v>
      </c>
      <c r="S63" s="550">
        <v>55382</v>
      </c>
      <c r="T63" s="556">
        <v>98.22</v>
      </c>
      <c r="U63" s="550">
        <v>473</v>
      </c>
      <c r="V63" s="549">
        <v>564</v>
      </c>
      <c r="W63" s="550">
        <v>55911</v>
      </c>
      <c r="X63" s="549">
        <v>7161</v>
      </c>
      <c r="Y63" s="550">
        <v>0</v>
      </c>
      <c r="Z63" s="549">
        <v>52562</v>
      </c>
      <c r="AA63" s="550">
        <v>4286</v>
      </c>
      <c r="AB63" s="549">
        <v>47212</v>
      </c>
      <c r="AC63" s="550">
        <v>51498</v>
      </c>
      <c r="AD63" s="556">
        <v>97.98</v>
      </c>
      <c r="AE63" s="550">
        <v>-471</v>
      </c>
      <c r="AF63" s="549">
        <v>3861</v>
      </c>
      <c r="AG63" s="550">
        <v>50602</v>
      </c>
      <c r="AH63" s="549">
        <v>8387</v>
      </c>
      <c r="AI63" s="550">
        <v>54454437.140000001</v>
      </c>
      <c r="AJ63" s="549">
        <v>42526.7</v>
      </c>
      <c r="AK63" s="550">
        <v>0</v>
      </c>
      <c r="AL63" s="549">
        <v>1485.56</v>
      </c>
      <c r="AM63" s="473">
        <f t="shared" si="3"/>
        <v>63175.964451999993</v>
      </c>
      <c r="AN63" s="141"/>
      <c r="AO63" s="566"/>
      <c r="AP63" s="567"/>
    </row>
    <row r="64" spans="1:42">
      <c r="A64" s="471">
        <v>53</v>
      </c>
      <c r="B64" s="481" t="s">
        <v>154</v>
      </c>
      <c r="C64" s="472" t="s">
        <v>155</v>
      </c>
      <c r="D64" s="550">
        <v>21732</v>
      </c>
      <c r="E64" s="549">
        <v>21453</v>
      </c>
      <c r="F64" s="550">
        <v>20500</v>
      </c>
      <c r="G64" s="549">
        <f t="shared" si="0"/>
        <v>63685</v>
      </c>
      <c r="H64" s="550">
        <v>22495</v>
      </c>
      <c r="I64" s="549">
        <v>19774</v>
      </c>
      <c r="J64" s="550">
        <v>19314</v>
      </c>
      <c r="K64" s="550">
        <f t="shared" si="1"/>
        <v>61583</v>
      </c>
      <c r="L64" s="549">
        <v>0</v>
      </c>
      <c r="M64" s="550">
        <v>0</v>
      </c>
      <c r="N64" s="549">
        <v>0</v>
      </c>
      <c r="O64" s="518">
        <f t="shared" si="2"/>
        <v>0</v>
      </c>
      <c r="P64" s="549">
        <v>71163</v>
      </c>
      <c r="Q64" s="550">
        <v>634</v>
      </c>
      <c r="R64" s="549">
        <v>69463</v>
      </c>
      <c r="S64" s="550">
        <v>70097</v>
      </c>
      <c r="T64" s="556">
        <v>98.5</v>
      </c>
      <c r="U64" s="550">
        <v>1005</v>
      </c>
      <c r="V64" s="549">
        <v>637</v>
      </c>
      <c r="W64" s="550">
        <v>71105</v>
      </c>
      <c r="X64" s="549">
        <v>8750</v>
      </c>
      <c r="Y64" s="550">
        <v>0</v>
      </c>
      <c r="Z64" s="549">
        <v>68718</v>
      </c>
      <c r="AA64" s="550">
        <v>851</v>
      </c>
      <c r="AB64" s="549">
        <v>67129</v>
      </c>
      <c r="AC64" s="550">
        <v>67980</v>
      </c>
      <c r="AD64" s="556">
        <v>98.93</v>
      </c>
      <c r="AE64" s="550">
        <v>2105</v>
      </c>
      <c r="AF64" s="549">
        <v>480</v>
      </c>
      <c r="AG64" s="550">
        <v>69714</v>
      </c>
      <c r="AH64" s="549">
        <v>10561</v>
      </c>
      <c r="AI64" s="550">
        <v>70864513.049999997</v>
      </c>
      <c r="AJ64" s="549">
        <v>51824.6</v>
      </c>
      <c r="AK64" s="550">
        <v>246</v>
      </c>
      <c r="AL64" s="549">
        <v>1546.9</v>
      </c>
      <c r="AM64" s="473">
        <f t="shared" si="3"/>
        <v>80548.011140000002</v>
      </c>
      <c r="AN64" s="141"/>
      <c r="AO64" s="566"/>
      <c r="AP64" s="567"/>
    </row>
    <row r="65" spans="1:42">
      <c r="A65" s="471">
        <v>54</v>
      </c>
      <c r="B65" s="481" t="s">
        <v>809</v>
      </c>
      <c r="C65" s="472" t="s">
        <v>817</v>
      </c>
      <c r="D65" s="550">
        <v>59156</v>
      </c>
      <c r="E65" s="549">
        <v>59062</v>
      </c>
      <c r="F65" s="550">
        <v>57213</v>
      </c>
      <c r="G65" s="549">
        <f t="shared" si="0"/>
        <v>175431</v>
      </c>
      <c r="H65" s="550">
        <v>45313</v>
      </c>
      <c r="I65" s="549">
        <v>37908</v>
      </c>
      <c r="J65" s="550">
        <v>35851</v>
      </c>
      <c r="K65" s="550">
        <f t="shared" si="1"/>
        <v>119072</v>
      </c>
      <c r="L65" s="549">
        <v>0</v>
      </c>
      <c r="M65" s="550">
        <v>0</v>
      </c>
      <c r="N65" s="549">
        <v>0</v>
      </c>
      <c r="O65" s="518">
        <f t="shared" si="2"/>
        <v>0</v>
      </c>
      <c r="P65" s="549">
        <v>195483</v>
      </c>
      <c r="Q65" s="550">
        <v>2654</v>
      </c>
      <c r="R65" s="549">
        <v>189307</v>
      </c>
      <c r="S65" s="550">
        <v>191961</v>
      </c>
      <c r="T65" s="556">
        <v>98.2</v>
      </c>
      <c r="U65" s="550">
        <v>2344</v>
      </c>
      <c r="V65" s="549">
        <v>2421</v>
      </c>
      <c r="W65" s="550">
        <v>194072</v>
      </c>
      <c r="X65" s="549">
        <v>24971</v>
      </c>
      <c r="Y65" s="550">
        <v>0</v>
      </c>
      <c r="Z65" s="549">
        <v>135896</v>
      </c>
      <c r="AA65" s="550">
        <v>1007</v>
      </c>
      <c r="AB65" s="549">
        <v>132018</v>
      </c>
      <c r="AC65" s="550">
        <v>133025</v>
      </c>
      <c r="AD65" s="556">
        <v>97.89</v>
      </c>
      <c r="AE65" s="550">
        <v>-1911</v>
      </c>
      <c r="AF65" s="549">
        <v>1288</v>
      </c>
      <c r="AG65" s="550">
        <v>131395</v>
      </c>
      <c r="AH65" s="549">
        <v>14423</v>
      </c>
      <c r="AI65" s="550">
        <v>141055452.75</v>
      </c>
      <c r="AJ65" s="549">
        <v>149907.18</v>
      </c>
      <c r="AK65" s="550">
        <v>0</v>
      </c>
      <c r="AL65" s="549">
        <v>1470.29</v>
      </c>
      <c r="AM65" s="473">
        <f t="shared" si="3"/>
        <v>220407.02768219999</v>
      </c>
      <c r="AN65" s="141"/>
      <c r="AO65" s="566"/>
      <c r="AP65" s="567"/>
    </row>
    <row r="66" spans="1:42">
      <c r="A66" s="471">
        <v>55</v>
      </c>
      <c r="B66" s="481" t="s">
        <v>810</v>
      </c>
      <c r="C66" s="472" t="s">
        <v>818</v>
      </c>
      <c r="D66" s="550">
        <v>49401</v>
      </c>
      <c r="E66" s="549">
        <v>48191</v>
      </c>
      <c r="F66" s="550">
        <v>48056</v>
      </c>
      <c r="G66" s="549">
        <f t="shared" si="0"/>
        <v>145648</v>
      </c>
      <c r="H66" s="550">
        <v>46030</v>
      </c>
      <c r="I66" s="549">
        <v>48805</v>
      </c>
      <c r="J66" s="550">
        <v>43308</v>
      </c>
      <c r="K66" s="550">
        <f t="shared" si="1"/>
        <v>138143</v>
      </c>
      <c r="L66" s="549">
        <v>0</v>
      </c>
      <c r="M66" s="550">
        <v>0</v>
      </c>
      <c r="N66" s="549">
        <v>0</v>
      </c>
      <c r="O66" s="518">
        <f t="shared" si="2"/>
        <v>0</v>
      </c>
      <c r="P66" s="549">
        <v>161404</v>
      </c>
      <c r="Q66" s="550">
        <v>2377</v>
      </c>
      <c r="R66" s="549">
        <v>156246</v>
      </c>
      <c r="S66" s="550">
        <v>158623</v>
      </c>
      <c r="T66" s="556">
        <v>98.28</v>
      </c>
      <c r="U66" s="550">
        <v>1590</v>
      </c>
      <c r="V66" s="549">
        <v>1738</v>
      </c>
      <c r="W66" s="550">
        <v>159574</v>
      </c>
      <c r="X66" s="549">
        <v>21105</v>
      </c>
      <c r="Y66" s="550">
        <v>0</v>
      </c>
      <c r="Z66" s="549">
        <v>150596</v>
      </c>
      <c r="AA66" s="550">
        <v>2965</v>
      </c>
      <c r="AB66" s="549">
        <v>145287</v>
      </c>
      <c r="AC66" s="550">
        <v>148252</v>
      </c>
      <c r="AD66" s="556">
        <v>98.44</v>
      </c>
      <c r="AE66" s="550">
        <v>-3238</v>
      </c>
      <c r="AF66" s="549">
        <v>650</v>
      </c>
      <c r="AG66" s="550">
        <v>142699</v>
      </c>
      <c r="AH66" s="549">
        <v>13706</v>
      </c>
      <c r="AI66" s="550">
        <v>155207723.22999999</v>
      </c>
      <c r="AJ66" s="549">
        <v>124792</v>
      </c>
      <c r="AK66" s="550">
        <v>155</v>
      </c>
      <c r="AL66" s="549">
        <v>1518.33</v>
      </c>
      <c r="AM66" s="473">
        <f t="shared" si="3"/>
        <v>189710.77851</v>
      </c>
      <c r="AN66" s="141"/>
      <c r="AO66" s="566"/>
      <c r="AP66" s="567"/>
    </row>
    <row r="67" spans="1:42">
      <c r="A67" s="471">
        <v>56</v>
      </c>
      <c r="B67" s="481" t="s">
        <v>156</v>
      </c>
      <c r="C67" s="472" t="s">
        <v>157</v>
      </c>
      <c r="D67" s="550">
        <v>11622</v>
      </c>
      <c r="E67" s="549">
        <v>11646</v>
      </c>
      <c r="F67" s="550">
        <v>11515</v>
      </c>
      <c r="G67" s="549">
        <f t="shared" si="0"/>
        <v>34783</v>
      </c>
      <c r="H67" s="550">
        <v>11297</v>
      </c>
      <c r="I67" s="549">
        <v>11463</v>
      </c>
      <c r="J67" s="550">
        <v>9538</v>
      </c>
      <c r="K67" s="550">
        <f t="shared" si="1"/>
        <v>32298</v>
      </c>
      <c r="L67" s="549">
        <v>0</v>
      </c>
      <c r="M67" s="550">
        <v>0</v>
      </c>
      <c r="N67" s="549">
        <v>0</v>
      </c>
      <c r="O67" s="518">
        <f t="shared" si="2"/>
        <v>0</v>
      </c>
      <c r="P67" s="549">
        <v>39152</v>
      </c>
      <c r="Q67" s="550">
        <v>693</v>
      </c>
      <c r="R67" s="549">
        <v>37216</v>
      </c>
      <c r="S67" s="550">
        <v>37909</v>
      </c>
      <c r="T67" s="556">
        <v>96.83</v>
      </c>
      <c r="U67" s="550">
        <v>622</v>
      </c>
      <c r="V67" s="549">
        <v>791</v>
      </c>
      <c r="W67" s="550">
        <v>38629</v>
      </c>
      <c r="X67" s="549">
        <v>5153</v>
      </c>
      <c r="Y67" s="550">
        <v>0</v>
      </c>
      <c r="Z67" s="549">
        <v>35370</v>
      </c>
      <c r="AA67" s="550">
        <v>277</v>
      </c>
      <c r="AB67" s="549">
        <v>34195</v>
      </c>
      <c r="AC67" s="550">
        <v>34472</v>
      </c>
      <c r="AD67" s="556">
        <v>97.46</v>
      </c>
      <c r="AE67" s="550">
        <v>3</v>
      </c>
      <c r="AF67" s="549">
        <v>352</v>
      </c>
      <c r="AG67" s="550">
        <v>34550</v>
      </c>
      <c r="AH67" s="549">
        <v>3558</v>
      </c>
      <c r="AI67" s="550">
        <v>36478313.560000002</v>
      </c>
      <c r="AJ67" s="549">
        <v>33520.559999999998</v>
      </c>
      <c r="AK67" s="550">
        <v>0</v>
      </c>
      <c r="AL67" s="549">
        <v>1467.5</v>
      </c>
      <c r="AM67" s="473">
        <f t="shared" si="3"/>
        <v>49191.421799999996</v>
      </c>
      <c r="AN67" s="141"/>
      <c r="AO67" s="566"/>
      <c r="AP67" s="567"/>
    </row>
    <row r="68" spans="1:42">
      <c r="A68" s="471">
        <v>57</v>
      </c>
      <c r="B68" s="481" t="s">
        <v>158</v>
      </c>
      <c r="C68" s="472" t="s">
        <v>159</v>
      </c>
      <c r="D68" s="550">
        <v>22106</v>
      </c>
      <c r="E68" s="549">
        <v>20970</v>
      </c>
      <c r="F68" s="550">
        <v>20733</v>
      </c>
      <c r="G68" s="549">
        <f t="shared" si="0"/>
        <v>63809</v>
      </c>
      <c r="H68" s="550">
        <v>12913</v>
      </c>
      <c r="I68" s="549">
        <v>13925</v>
      </c>
      <c r="J68" s="550">
        <v>11865</v>
      </c>
      <c r="K68" s="550">
        <f t="shared" si="1"/>
        <v>38703</v>
      </c>
      <c r="L68" s="549">
        <v>0</v>
      </c>
      <c r="M68" s="550">
        <v>0</v>
      </c>
      <c r="N68" s="549">
        <v>0</v>
      </c>
      <c r="O68" s="518">
        <f t="shared" si="2"/>
        <v>0</v>
      </c>
      <c r="P68" s="549">
        <v>71280</v>
      </c>
      <c r="Q68" s="550">
        <v>1077</v>
      </c>
      <c r="R68" s="549">
        <v>68921</v>
      </c>
      <c r="S68" s="550">
        <v>69998</v>
      </c>
      <c r="T68" s="556">
        <v>98.2</v>
      </c>
      <c r="U68" s="550">
        <v>517</v>
      </c>
      <c r="V68" s="549">
        <v>941</v>
      </c>
      <c r="W68" s="550">
        <v>70379</v>
      </c>
      <c r="X68" s="549">
        <v>8984</v>
      </c>
      <c r="Y68" s="550">
        <v>0</v>
      </c>
      <c r="Z68" s="549">
        <v>42502</v>
      </c>
      <c r="AA68" s="550">
        <v>77</v>
      </c>
      <c r="AB68" s="549">
        <v>41451</v>
      </c>
      <c r="AC68" s="550">
        <v>41528</v>
      </c>
      <c r="AD68" s="556">
        <v>97.71</v>
      </c>
      <c r="AE68" s="550">
        <v>-526</v>
      </c>
      <c r="AF68" s="549">
        <v>102</v>
      </c>
      <c r="AG68" s="550">
        <v>41027</v>
      </c>
      <c r="AH68" s="549">
        <v>4004</v>
      </c>
      <c r="AI68" s="550">
        <v>44276346.370000005</v>
      </c>
      <c r="AJ68" s="549">
        <v>54461.3</v>
      </c>
      <c r="AK68" s="550">
        <v>278.7</v>
      </c>
      <c r="AL68" s="549">
        <v>1482.81</v>
      </c>
      <c r="AM68" s="473">
        <f t="shared" si="3"/>
        <v>81169.01939999999</v>
      </c>
      <c r="AN68" s="141"/>
      <c r="AO68" s="566"/>
      <c r="AP68" s="567"/>
    </row>
    <row r="69" spans="1:42">
      <c r="A69" s="471">
        <v>58</v>
      </c>
      <c r="B69" s="481" t="s">
        <v>160</v>
      </c>
      <c r="C69" s="472" t="s">
        <v>161</v>
      </c>
      <c r="D69" s="550">
        <v>13771</v>
      </c>
      <c r="E69" s="549">
        <v>18798</v>
      </c>
      <c r="F69" s="550">
        <v>18832</v>
      </c>
      <c r="G69" s="549">
        <f t="shared" si="0"/>
        <v>51401</v>
      </c>
      <c r="H69" s="550">
        <v>5286</v>
      </c>
      <c r="I69" s="549">
        <v>5789</v>
      </c>
      <c r="J69" s="550">
        <v>5370</v>
      </c>
      <c r="K69" s="550">
        <f t="shared" si="1"/>
        <v>16445</v>
      </c>
      <c r="L69" s="549">
        <v>0</v>
      </c>
      <c r="M69" s="550">
        <v>0</v>
      </c>
      <c r="N69" s="549">
        <v>0</v>
      </c>
      <c r="O69" s="518">
        <f t="shared" si="2"/>
        <v>0</v>
      </c>
      <c r="P69" s="549">
        <v>63091</v>
      </c>
      <c r="Q69" s="550">
        <v>596</v>
      </c>
      <c r="R69" s="549">
        <v>62020</v>
      </c>
      <c r="S69" s="550">
        <v>62616</v>
      </c>
      <c r="T69" s="556">
        <v>99.25</v>
      </c>
      <c r="U69" s="550">
        <v>490</v>
      </c>
      <c r="V69" s="549">
        <v>37</v>
      </c>
      <c r="W69" s="550">
        <v>62547</v>
      </c>
      <c r="X69" s="549">
        <v>10698</v>
      </c>
      <c r="Y69" s="550">
        <v>0</v>
      </c>
      <c r="Z69" s="549">
        <v>20697</v>
      </c>
      <c r="AA69" s="550">
        <v>693</v>
      </c>
      <c r="AB69" s="549">
        <v>19477</v>
      </c>
      <c r="AC69" s="550">
        <v>20170</v>
      </c>
      <c r="AD69" s="556">
        <v>97.45</v>
      </c>
      <c r="AE69" s="550">
        <v>-513</v>
      </c>
      <c r="AF69" s="549">
        <v>14</v>
      </c>
      <c r="AG69" s="550">
        <v>18978</v>
      </c>
      <c r="AH69" s="549">
        <v>1749</v>
      </c>
      <c r="AI69" s="550">
        <v>21499752.579999998</v>
      </c>
      <c r="AJ69" s="549">
        <v>44796.800000000003</v>
      </c>
      <c r="AK69" s="550">
        <v>0</v>
      </c>
      <c r="AL69" s="549">
        <v>1511.51</v>
      </c>
      <c r="AM69" s="473">
        <f t="shared" si="3"/>
        <v>67710.811168</v>
      </c>
      <c r="AN69" s="141"/>
      <c r="AO69" s="566"/>
      <c r="AP69" s="567"/>
    </row>
    <row r="70" spans="1:42">
      <c r="A70" s="471">
        <v>59</v>
      </c>
      <c r="B70" s="481" t="s">
        <v>162</v>
      </c>
      <c r="C70" s="472" t="s">
        <v>163</v>
      </c>
      <c r="D70" s="550">
        <v>14170</v>
      </c>
      <c r="E70" s="549">
        <v>14117</v>
      </c>
      <c r="F70" s="550">
        <v>14051</v>
      </c>
      <c r="G70" s="549">
        <f t="shared" si="0"/>
        <v>42338</v>
      </c>
      <c r="H70" s="550">
        <v>8490</v>
      </c>
      <c r="I70" s="549">
        <v>7935</v>
      </c>
      <c r="J70" s="550">
        <v>6686</v>
      </c>
      <c r="K70" s="550">
        <f t="shared" si="1"/>
        <v>23111</v>
      </c>
      <c r="L70" s="549">
        <v>0</v>
      </c>
      <c r="M70" s="550">
        <v>0</v>
      </c>
      <c r="N70" s="549">
        <v>0</v>
      </c>
      <c r="O70" s="518">
        <f t="shared" si="2"/>
        <v>0</v>
      </c>
      <c r="P70" s="549">
        <v>49035</v>
      </c>
      <c r="Q70" s="550">
        <v>552</v>
      </c>
      <c r="R70" s="549">
        <v>47572</v>
      </c>
      <c r="S70" s="550">
        <v>48124</v>
      </c>
      <c r="T70" s="556">
        <v>98.14</v>
      </c>
      <c r="U70" s="550">
        <v>317</v>
      </c>
      <c r="V70" s="549">
        <v>522</v>
      </c>
      <c r="W70" s="550">
        <v>48411</v>
      </c>
      <c r="X70" s="549">
        <v>6920</v>
      </c>
      <c r="Y70" s="550">
        <v>0</v>
      </c>
      <c r="Z70" s="549">
        <v>26539</v>
      </c>
      <c r="AA70" s="550">
        <v>177</v>
      </c>
      <c r="AB70" s="549">
        <v>25588</v>
      </c>
      <c r="AC70" s="550">
        <v>25765</v>
      </c>
      <c r="AD70" s="556">
        <v>97.08</v>
      </c>
      <c r="AE70" s="550">
        <v>108</v>
      </c>
      <c r="AF70" s="549">
        <v>254</v>
      </c>
      <c r="AG70" s="550">
        <v>25950</v>
      </c>
      <c r="AH70" s="549">
        <v>3025</v>
      </c>
      <c r="AI70" s="550">
        <v>27515741.579999998</v>
      </c>
      <c r="AJ70" s="549">
        <v>37514.400000000001</v>
      </c>
      <c r="AK70" s="550">
        <v>0</v>
      </c>
      <c r="AL70" s="549">
        <v>1496.29</v>
      </c>
      <c r="AM70" s="473">
        <f t="shared" si="3"/>
        <v>56132.421576000001</v>
      </c>
      <c r="AN70" s="141"/>
      <c r="AO70" s="566"/>
      <c r="AP70" s="567"/>
    </row>
    <row r="71" spans="1:42">
      <c r="A71" s="471">
        <v>60</v>
      </c>
      <c r="B71" s="481" t="s">
        <v>164</v>
      </c>
      <c r="C71" s="472" t="s">
        <v>165</v>
      </c>
      <c r="D71" s="550">
        <v>8789</v>
      </c>
      <c r="E71" s="549">
        <v>8587</v>
      </c>
      <c r="F71" s="550">
        <v>8790</v>
      </c>
      <c r="G71" s="549">
        <f t="shared" si="0"/>
        <v>26166</v>
      </c>
      <c r="H71" s="550">
        <v>5899</v>
      </c>
      <c r="I71" s="549">
        <v>4843</v>
      </c>
      <c r="J71" s="550">
        <v>5140</v>
      </c>
      <c r="K71" s="550">
        <f t="shared" si="1"/>
        <v>15882</v>
      </c>
      <c r="L71" s="549">
        <v>0</v>
      </c>
      <c r="M71" s="550">
        <v>0</v>
      </c>
      <c r="N71" s="549">
        <v>0</v>
      </c>
      <c r="O71" s="518">
        <f t="shared" si="2"/>
        <v>0</v>
      </c>
      <c r="P71" s="549">
        <v>29456</v>
      </c>
      <c r="Q71" s="550">
        <v>447</v>
      </c>
      <c r="R71" s="549">
        <v>28533</v>
      </c>
      <c r="S71" s="550">
        <v>28980</v>
      </c>
      <c r="T71" s="556">
        <v>98.38</v>
      </c>
      <c r="U71" s="550">
        <v>222</v>
      </c>
      <c r="V71" s="549">
        <v>466</v>
      </c>
      <c r="W71" s="550">
        <v>29221</v>
      </c>
      <c r="X71" s="549">
        <v>3757</v>
      </c>
      <c r="Y71" s="550">
        <v>0</v>
      </c>
      <c r="Z71" s="549">
        <v>18036</v>
      </c>
      <c r="AA71" s="550">
        <v>135</v>
      </c>
      <c r="AB71" s="549">
        <v>17480</v>
      </c>
      <c r="AC71" s="550">
        <v>17615</v>
      </c>
      <c r="AD71" s="556">
        <v>97.67</v>
      </c>
      <c r="AE71" s="550">
        <v>-29</v>
      </c>
      <c r="AF71" s="549">
        <v>260</v>
      </c>
      <c r="AG71" s="550">
        <v>17711</v>
      </c>
      <c r="AH71" s="549">
        <v>1874</v>
      </c>
      <c r="AI71" s="550">
        <v>18968001.800000001</v>
      </c>
      <c r="AJ71" s="549">
        <v>21579.3</v>
      </c>
      <c r="AK71" s="550">
        <v>0</v>
      </c>
      <c r="AL71" s="549">
        <v>1596.33</v>
      </c>
      <c r="AM71" s="473">
        <f t="shared" si="3"/>
        <v>34447.683968999998</v>
      </c>
      <c r="AN71" s="141"/>
      <c r="AO71" s="566"/>
      <c r="AP71" s="567"/>
    </row>
    <row r="72" spans="1:42">
      <c r="A72" s="471">
        <v>61</v>
      </c>
      <c r="B72" s="481" t="s">
        <v>166</v>
      </c>
      <c r="C72" s="472" t="s">
        <v>167</v>
      </c>
      <c r="D72" s="550">
        <v>1515</v>
      </c>
      <c r="E72" s="549">
        <v>1590</v>
      </c>
      <c r="F72" s="550">
        <v>1730</v>
      </c>
      <c r="G72" s="549">
        <f t="shared" si="0"/>
        <v>4835</v>
      </c>
      <c r="H72" s="550">
        <v>284399</v>
      </c>
      <c r="I72" s="549">
        <v>230593</v>
      </c>
      <c r="J72" s="550">
        <v>243318</v>
      </c>
      <c r="K72" s="550">
        <f t="shared" si="1"/>
        <v>758310</v>
      </c>
      <c r="L72" s="549">
        <v>0</v>
      </c>
      <c r="M72" s="550">
        <v>0</v>
      </c>
      <c r="N72" s="549">
        <v>0</v>
      </c>
      <c r="O72" s="518">
        <f t="shared" si="2"/>
        <v>0</v>
      </c>
      <c r="P72" s="549">
        <v>5990</v>
      </c>
      <c r="Q72" s="550">
        <v>38</v>
      </c>
      <c r="R72" s="549">
        <v>5919</v>
      </c>
      <c r="S72" s="550">
        <v>5957</v>
      </c>
      <c r="T72" s="556">
        <v>99.45</v>
      </c>
      <c r="U72" s="550">
        <v>27</v>
      </c>
      <c r="V72" s="549">
        <v>35</v>
      </c>
      <c r="W72" s="550">
        <v>5981</v>
      </c>
      <c r="X72" s="549">
        <v>1069</v>
      </c>
      <c r="Y72" s="550">
        <v>0</v>
      </c>
      <c r="Z72" s="549">
        <v>792757</v>
      </c>
      <c r="AA72" s="550">
        <v>23447</v>
      </c>
      <c r="AB72" s="549">
        <v>758336</v>
      </c>
      <c r="AC72" s="550">
        <v>781783</v>
      </c>
      <c r="AD72" s="556">
        <v>98.62</v>
      </c>
      <c r="AE72" s="550">
        <v>-19130</v>
      </c>
      <c r="AF72" s="549">
        <v>46230</v>
      </c>
      <c r="AG72" s="550">
        <v>785436</v>
      </c>
      <c r="AH72" s="549">
        <v>68311</v>
      </c>
      <c r="AI72" s="550">
        <v>810033477.88999999</v>
      </c>
      <c r="AJ72" s="549">
        <v>6541.11</v>
      </c>
      <c r="AK72" s="550">
        <v>0</v>
      </c>
      <c r="AL72" s="549">
        <v>943.39</v>
      </c>
      <c r="AM72" s="473">
        <f t="shared" si="3"/>
        <v>6170.8177628999993</v>
      </c>
      <c r="AN72" s="141"/>
      <c r="AO72" s="566"/>
      <c r="AP72" s="567"/>
    </row>
    <row r="73" spans="1:42">
      <c r="A73" s="471">
        <v>62</v>
      </c>
      <c r="B73" s="481" t="s">
        <v>168</v>
      </c>
      <c r="C73" s="472" t="s">
        <v>169</v>
      </c>
      <c r="D73" s="550">
        <v>24977</v>
      </c>
      <c r="E73" s="549">
        <v>24423</v>
      </c>
      <c r="F73" s="550">
        <v>24266</v>
      </c>
      <c r="G73" s="549">
        <f t="shared" si="0"/>
        <v>73666</v>
      </c>
      <c r="H73" s="550">
        <v>20103</v>
      </c>
      <c r="I73" s="549">
        <v>17906</v>
      </c>
      <c r="J73" s="550">
        <v>16005</v>
      </c>
      <c r="K73" s="550">
        <f t="shared" si="1"/>
        <v>54014</v>
      </c>
      <c r="L73" s="549">
        <v>0</v>
      </c>
      <c r="M73" s="550">
        <v>0</v>
      </c>
      <c r="N73" s="549">
        <v>0</v>
      </c>
      <c r="O73" s="518">
        <f t="shared" si="2"/>
        <v>0</v>
      </c>
      <c r="P73" s="549">
        <v>80845</v>
      </c>
      <c r="Q73" s="550">
        <v>1194</v>
      </c>
      <c r="R73" s="549">
        <v>77916</v>
      </c>
      <c r="S73" s="550">
        <v>79110</v>
      </c>
      <c r="T73" s="556">
        <v>97.85</v>
      </c>
      <c r="U73" s="550">
        <v>896</v>
      </c>
      <c r="V73" s="549">
        <v>1133</v>
      </c>
      <c r="W73" s="550">
        <v>79945</v>
      </c>
      <c r="X73" s="549">
        <v>10368</v>
      </c>
      <c r="Y73" s="550">
        <v>0</v>
      </c>
      <c r="Z73" s="549">
        <v>60039</v>
      </c>
      <c r="AA73" s="550">
        <v>1918</v>
      </c>
      <c r="AB73" s="549">
        <v>56843</v>
      </c>
      <c r="AC73" s="550">
        <v>58761</v>
      </c>
      <c r="AD73" s="556">
        <v>97.87</v>
      </c>
      <c r="AE73" s="550">
        <v>-622</v>
      </c>
      <c r="AF73" s="549">
        <v>380</v>
      </c>
      <c r="AG73" s="550">
        <v>56601</v>
      </c>
      <c r="AH73" s="549">
        <v>5344</v>
      </c>
      <c r="AI73" s="550">
        <v>62276121.119999997</v>
      </c>
      <c r="AJ73" s="549">
        <v>61796.4</v>
      </c>
      <c r="AK73" s="550">
        <v>776.4</v>
      </c>
      <c r="AL73" s="549">
        <v>1490</v>
      </c>
      <c r="AM73" s="473">
        <f t="shared" si="3"/>
        <v>93233.471999999994</v>
      </c>
      <c r="AN73" s="141"/>
      <c r="AO73" s="566"/>
      <c r="AP73" s="567"/>
    </row>
    <row r="74" spans="1:42">
      <c r="A74" s="471">
        <v>63</v>
      </c>
      <c r="B74" s="481" t="s">
        <v>170</v>
      </c>
      <c r="C74" s="472" t="s">
        <v>171</v>
      </c>
      <c r="D74" s="550">
        <v>8935</v>
      </c>
      <c r="E74" s="549">
        <v>8902</v>
      </c>
      <c r="F74" s="550">
        <v>8990</v>
      </c>
      <c r="G74" s="549">
        <f t="shared" si="0"/>
        <v>26827</v>
      </c>
      <c r="H74" s="550">
        <v>34273</v>
      </c>
      <c r="I74" s="549">
        <v>3237</v>
      </c>
      <c r="J74" s="550">
        <v>2964</v>
      </c>
      <c r="K74" s="550">
        <f t="shared" si="1"/>
        <v>40474</v>
      </c>
      <c r="L74" s="549">
        <v>0</v>
      </c>
      <c r="M74" s="550">
        <v>0</v>
      </c>
      <c r="N74" s="549">
        <v>0</v>
      </c>
      <c r="O74" s="518">
        <f t="shared" si="2"/>
        <v>0</v>
      </c>
      <c r="P74" s="549">
        <v>29781</v>
      </c>
      <c r="Q74" s="550">
        <v>580</v>
      </c>
      <c r="R74" s="549">
        <v>28664</v>
      </c>
      <c r="S74" s="550">
        <v>29244</v>
      </c>
      <c r="T74" s="556">
        <v>98.2</v>
      </c>
      <c r="U74" s="550">
        <v>426</v>
      </c>
      <c r="V74" s="549">
        <v>630</v>
      </c>
      <c r="W74" s="550">
        <v>29720</v>
      </c>
      <c r="X74" s="549">
        <v>3893</v>
      </c>
      <c r="Y74" s="550">
        <v>0</v>
      </c>
      <c r="Z74" s="549">
        <v>41247</v>
      </c>
      <c r="AA74" s="550">
        <v>363</v>
      </c>
      <c r="AB74" s="549">
        <v>40482</v>
      </c>
      <c r="AC74" s="550">
        <v>40845</v>
      </c>
      <c r="AD74" s="556">
        <v>99.03</v>
      </c>
      <c r="AE74" s="550">
        <v>89</v>
      </c>
      <c r="AF74" s="549">
        <v>304</v>
      </c>
      <c r="AG74" s="550">
        <v>40875</v>
      </c>
      <c r="AH74" s="549">
        <v>4424</v>
      </c>
      <c r="AI74" s="550">
        <v>42493577.789999999</v>
      </c>
      <c r="AJ74" s="549">
        <v>23319.06</v>
      </c>
      <c r="AK74" s="550">
        <v>0</v>
      </c>
      <c r="AL74" s="549">
        <v>1573.07</v>
      </c>
      <c r="AM74" s="473">
        <f t="shared" si="3"/>
        <v>36682.513714199995</v>
      </c>
      <c r="AN74" s="141"/>
      <c r="AO74" s="566"/>
      <c r="AP74" s="567"/>
    </row>
    <row r="75" spans="1:42">
      <c r="A75" s="471">
        <v>64</v>
      </c>
      <c r="B75" s="481" t="s">
        <v>172</v>
      </c>
      <c r="C75" s="472" t="s">
        <v>173</v>
      </c>
      <c r="D75" s="550">
        <v>6371</v>
      </c>
      <c r="E75" s="549">
        <v>6714</v>
      </c>
      <c r="F75" s="550">
        <v>6721</v>
      </c>
      <c r="G75" s="549">
        <f t="shared" si="0"/>
        <v>19806</v>
      </c>
      <c r="H75" s="550">
        <v>9370</v>
      </c>
      <c r="I75" s="549">
        <v>9371</v>
      </c>
      <c r="J75" s="550">
        <v>8987</v>
      </c>
      <c r="K75" s="550">
        <f t="shared" si="1"/>
        <v>27728</v>
      </c>
      <c r="L75" s="549">
        <v>0</v>
      </c>
      <c r="M75" s="550">
        <v>0</v>
      </c>
      <c r="N75" s="549">
        <v>0</v>
      </c>
      <c r="O75" s="518">
        <f t="shared" si="2"/>
        <v>0</v>
      </c>
      <c r="P75" s="549">
        <v>22142</v>
      </c>
      <c r="Q75" s="550">
        <v>217</v>
      </c>
      <c r="R75" s="549">
        <v>21368</v>
      </c>
      <c r="S75" s="550">
        <v>21585</v>
      </c>
      <c r="T75" s="556">
        <v>97.48</v>
      </c>
      <c r="U75" s="550">
        <v>373</v>
      </c>
      <c r="V75" s="549">
        <v>185</v>
      </c>
      <c r="W75" s="550">
        <v>21926</v>
      </c>
      <c r="X75" s="549">
        <v>2980</v>
      </c>
      <c r="Y75" s="550">
        <v>0</v>
      </c>
      <c r="Z75" s="549">
        <v>30990</v>
      </c>
      <c r="AA75" s="550">
        <v>96</v>
      </c>
      <c r="AB75" s="549">
        <v>30039</v>
      </c>
      <c r="AC75" s="550">
        <v>30135</v>
      </c>
      <c r="AD75" s="556">
        <v>97.24</v>
      </c>
      <c r="AE75" s="550">
        <v>460</v>
      </c>
      <c r="AF75" s="549">
        <v>67</v>
      </c>
      <c r="AG75" s="550">
        <v>30566</v>
      </c>
      <c r="AH75" s="549">
        <v>4422</v>
      </c>
      <c r="AI75" s="550">
        <v>34057240.659999996</v>
      </c>
      <c r="AJ75" s="549">
        <v>19337</v>
      </c>
      <c r="AK75" s="550">
        <v>0</v>
      </c>
      <c r="AL75" s="549">
        <v>1402.66</v>
      </c>
      <c r="AM75" s="473">
        <f t="shared" si="3"/>
        <v>27123.236420000001</v>
      </c>
      <c r="AN75" s="141"/>
      <c r="AO75" s="566"/>
      <c r="AP75" s="567"/>
    </row>
    <row r="76" spans="1:42">
      <c r="A76" s="471">
        <v>65</v>
      </c>
      <c r="B76" s="481" t="s">
        <v>811</v>
      </c>
      <c r="C76" s="472" t="s">
        <v>819</v>
      </c>
      <c r="D76" s="550">
        <v>76924</v>
      </c>
      <c r="E76" s="549">
        <v>73548</v>
      </c>
      <c r="F76" s="550">
        <v>74446</v>
      </c>
      <c r="G76" s="549">
        <f t="shared" si="0"/>
        <v>224918</v>
      </c>
      <c r="H76" s="550">
        <v>52518</v>
      </c>
      <c r="I76" s="549">
        <v>39971</v>
      </c>
      <c r="J76" s="550">
        <v>36987</v>
      </c>
      <c r="K76" s="550">
        <f t="shared" si="1"/>
        <v>129476</v>
      </c>
      <c r="L76" s="549">
        <v>0</v>
      </c>
      <c r="M76" s="550">
        <v>0</v>
      </c>
      <c r="N76" s="549">
        <v>0</v>
      </c>
      <c r="O76" s="518">
        <f t="shared" si="2"/>
        <v>0</v>
      </c>
      <c r="P76" s="549">
        <v>249094</v>
      </c>
      <c r="Q76" s="550">
        <v>4462</v>
      </c>
      <c r="R76" s="549">
        <v>239147</v>
      </c>
      <c r="S76" s="550">
        <v>243609</v>
      </c>
      <c r="T76" s="556">
        <v>97.8</v>
      </c>
      <c r="U76" s="550">
        <v>3270</v>
      </c>
      <c r="V76" s="549">
        <v>4296</v>
      </c>
      <c r="W76" s="550">
        <v>246713</v>
      </c>
      <c r="X76" s="549">
        <v>34284</v>
      </c>
      <c r="Y76" s="550">
        <v>0</v>
      </c>
      <c r="Z76" s="549">
        <v>150351</v>
      </c>
      <c r="AA76" s="550">
        <v>3404</v>
      </c>
      <c r="AB76" s="549">
        <v>142296</v>
      </c>
      <c r="AC76" s="550">
        <v>145700</v>
      </c>
      <c r="AD76" s="556">
        <v>96.91</v>
      </c>
      <c r="AE76" s="550">
        <v>-1106</v>
      </c>
      <c r="AF76" s="549">
        <v>1456</v>
      </c>
      <c r="AG76" s="550">
        <v>142646</v>
      </c>
      <c r="AH76" s="549">
        <v>14693</v>
      </c>
      <c r="AI76" s="550">
        <v>158495835.08000001</v>
      </c>
      <c r="AJ76" s="549">
        <v>206647.6</v>
      </c>
      <c r="AK76" s="550">
        <v>532.1</v>
      </c>
      <c r="AL76" s="549">
        <v>1477.05</v>
      </c>
      <c r="AM76" s="473">
        <f t="shared" si="3"/>
        <v>306014.77588500001</v>
      </c>
      <c r="AN76" s="141"/>
      <c r="AO76" s="566"/>
      <c r="AP76" s="567"/>
    </row>
    <row r="77" spans="1:42">
      <c r="A77" s="471">
        <v>66</v>
      </c>
      <c r="B77" s="481" t="s">
        <v>174</v>
      </c>
      <c r="C77" s="472" t="s">
        <v>175</v>
      </c>
      <c r="D77" s="550">
        <v>16131</v>
      </c>
      <c r="E77" s="549">
        <v>15577</v>
      </c>
      <c r="F77" s="550">
        <v>15394</v>
      </c>
      <c r="G77" s="549">
        <f t="shared" ref="G77:G140" si="4">SUM(D77:F77)</f>
        <v>47102</v>
      </c>
      <c r="H77" s="550">
        <v>9560</v>
      </c>
      <c r="I77" s="549">
        <v>7978</v>
      </c>
      <c r="J77" s="550">
        <v>7731</v>
      </c>
      <c r="K77" s="550">
        <f t="shared" ref="K77:K140" si="5">SUM(H77:J77)</f>
        <v>25269</v>
      </c>
      <c r="L77" s="549">
        <v>0</v>
      </c>
      <c r="M77" s="550">
        <v>0</v>
      </c>
      <c r="N77" s="549">
        <v>0</v>
      </c>
      <c r="O77" s="518">
        <f t="shared" ref="O77:O140" si="6">SUM(L77:N77)</f>
        <v>0</v>
      </c>
      <c r="P77" s="549">
        <v>52952</v>
      </c>
      <c r="Q77" s="550">
        <v>728</v>
      </c>
      <c r="R77" s="549">
        <v>51642</v>
      </c>
      <c r="S77" s="550">
        <v>52370</v>
      </c>
      <c r="T77" s="556">
        <v>98.9</v>
      </c>
      <c r="U77" s="550">
        <v>35</v>
      </c>
      <c r="V77" s="549">
        <v>620</v>
      </c>
      <c r="W77" s="550">
        <v>52297</v>
      </c>
      <c r="X77" s="549">
        <v>6750</v>
      </c>
      <c r="Y77" s="550">
        <v>0</v>
      </c>
      <c r="Z77" s="549">
        <v>28593</v>
      </c>
      <c r="AA77" s="550">
        <v>343</v>
      </c>
      <c r="AB77" s="549">
        <v>27739</v>
      </c>
      <c r="AC77" s="550">
        <v>28082</v>
      </c>
      <c r="AD77" s="556">
        <v>98.21</v>
      </c>
      <c r="AE77" s="550">
        <v>161</v>
      </c>
      <c r="AF77" s="549">
        <v>86</v>
      </c>
      <c r="AG77" s="550">
        <v>27986</v>
      </c>
      <c r="AH77" s="549">
        <v>3363</v>
      </c>
      <c r="AI77" s="550">
        <v>30138773.559999999</v>
      </c>
      <c r="AJ77" s="549">
        <v>38006.9</v>
      </c>
      <c r="AK77" s="550">
        <v>0</v>
      </c>
      <c r="AL77" s="549">
        <v>1489.61</v>
      </c>
      <c r="AM77" s="473">
        <f t="shared" ref="AM77:AM140" si="7">((AJ77+AK77)*AL77)/1000</f>
        <v>56615.458309000001</v>
      </c>
      <c r="AN77" s="141"/>
      <c r="AO77" s="566"/>
      <c r="AP77" s="567"/>
    </row>
    <row r="78" spans="1:42">
      <c r="A78" s="471">
        <v>67</v>
      </c>
      <c r="B78" s="481" t="s">
        <v>176</v>
      </c>
      <c r="C78" s="472" t="s">
        <v>177</v>
      </c>
      <c r="D78" s="550">
        <v>31265</v>
      </c>
      <c r="E78" s="549">
        <v>30980</v>
      </c>
      <c r="F78" s="550">
        <v>31159</v>
      </c>
      <c r="G78" s="549">
        <f t="shared" si="4"/>
        <v>93404</v>
      </c>
      <c r="H78" s="550">
        <v>36052</v>
      </c>
      <c r="I78" s="549">
        <v>33894</v>
      </c>
      <c r="J78" s="550">
        <v>33504</v>
      </c>
      <c r="K78" s="550">
        <f t="shared" si="5"/>
        <v>103450</v>
      </c>
      <c r="L78" s="549">
        <v>0</v>
      </c>
      <c r="M78" s="550">
        <v>0</v>
      </c>
      <c r="N78" s="549">
        <v>0</v>
      </c>
      <c r="O78" s="518">
        <f t="shared" si="6"/>
        <v>0</v>
      </c>
      <c r="P78" s="549">
        <v>105551.26</v>
      </c>
      <c r="Q78" s="550">
        <v>1151</v>
      </c>
      <c r="R78" s="549">
        <v>100063.27</v>
      </c>
      <c r="S78" s="550">
        <v>101214.27</v>
      </c>
      <c r="T78" s="556">
        <v>95.89</v>
      </c>
      <c r="U78" s="550">
        <v>2938</v>
      </c>
      <c r="V78" s="549">
        <v>1419</v>
      </c>
      <c r="W78" s="550">
        <v>104420.27</v>
      </c>
      <c r="X78" s="549">
        <v>14359.27</v>
      </c>
      <c r="Y78" s="550">
        <v>0</v>
      </c>
      <c r="Z78" s="549">
        <v>115929</v>
      </c>
      <c r="AA78" s="550">
        <v>2082</v>
      </c>
      <c r="AB78" s="549">
        <v>111481</v>
      </c>
      <c r="AC78" s="550">
        <v>113563</v>
      </c>
      <c r="AD78" s="556">
        <v>97.96</v>
      </c>
      <c r="AE78" s="550">
        <v>-2084</v>
      </c>
      <c r="AF78" s="549">
        <v>1818</v>
      </c>
      <c r="AG78" s="550">
        <v>111215</v>
      </c>
      <c r="AH78" s="549">
        <v>13121</v>
      </c>
      <c r="AI78" s="550">
        <v>119260592.98999999</v>
      </c>
      <c r="AJ78" s="549">
        <v>92605.4</v>
      </c>
      <c r="AK78" s="550">
        <v>0</v>
      </c>
      <c r="AL78" s="549">
        <v>1479.11</v>
      </c>
      <c r="AM78" s="473">
        <f t="shared" si="7"/>
        <v>136973.57319399997</v>
      </c>
      <c r="AN78" s="141"/>
      <c r="AO78" s="566"/>
      <c r="AP78" s="567"/>
    </row>
    <row r="79" spans="1:42">
      <c r="A79" s="471">
        <v>68</v>
      </c>
      <c r="B79" s="481" t="s">
        <v>178</v>
      </c>
      <c r="C79" s="472" t="s">
        <v>179</v>
      </c>
      <c r="D79" s="550">
        <v>9651</v>
      </c>
      <c r="E79" s="549">
        <v>9213</v>
      </c>
      <c r="F79" s="550">
        <v>9298</v>
      </c>
      <c r="G79" s="549">
        <f t="shared" si="4"/>
        <v>28162</v>
      </c>
      <c r="H79" s="550">
        <v>5593</v>
      </c>
      <c r="I79" s="549">
        <v>4970</v>
      </c>
      <c r="J79" s="550">
        <v>4892</v>
      </c>
      <c r="K79" s="550">
        <f t="shared" si="5"/>
        <v>15455</v>
      </c>
      <c r="L79" s="549">
        <v>0</v>
      </c>
      <c r="M79" s="550">
        <v>0</v>
      </c>
      <c r="N79" s="549">
        <v>0</v>
      </c>
      <c r="O79" s="518">
        <f t="shared" si="6"/>
        <v>0</v>
      </c>
      <c r="P79" s="549">
        <v>31794</v>
      </c>
      <c r="Q79" s="550">
        <v>411</v>
      </c>
      <c r="R79" s="549">
        <v>30573</v>
      </c>
      <c r="S79" s="550">
        <v>30984</v>
      </c>
      <c r="T79" s="556">
        <v>97.45</v>
      </c>
      <c r="U79" s="550">
        <v>874</v>
      </c>
      <c r="V79" s="549">
        <v>418</v>
      </c>
      <c r="W79" s="550">
        <v>31865</v>
      </c>
      <c r="X79" s="549">
        <v>4432</v>
      </c>
      <c r="Y79" s="550">
        <v>0</v>
      </c>
      <c r="Z79" s="549">
        <v>17668</v>
      </c>
      <c r="AA79" s="550">
        <v>114</v>
      </c>
      <c r="AB79" s="549">
        <v>17010</v>
      </c>
      <c r="AC79" s="550">
        <v>17124</v>
      </c>
      <c r="AD79" s="556">
        <v>96.92</v>
      </c>
      <c r="AE79" s="550">
        <v>-592</v>
      </c>
      <c r="AF79" s="549">
        <v>1047</v>
      </c>
      <c r="AG79" s="550">
        <v>17465</v>
      </c>
      <c r="AH79" s="549">
        <v>2216</v>
      </c>
      <c r="AI79" s="550">
        <v>19106123.789999999</v>
      </c>
      <c r="AJ79" s="549">
        <v>22907.69</v>
      </c>
      <c r="AK79" s="550">
        <v>0</v>
      </c>
      <c r="AL79" s="549">
        <v>1528.78</v>
      </c>
      <c r="AM79" s="473">
        <f t="shared" si="7"/>
        <v>35020.818318199999</v>
      </c>
      <c r="AN79" s="141"/>
      <c r="AO79" s="566"/>
      <c r="AP79" s="567"/>
    </row>
    <row r="80" spans="1:42">
      <c r="A80" s="471">
        <v>69</v>
      </c>
      <c r="B80" s="481" t="s">
        <v>180</v>
      </c>
      <c r="C80" s="472" t="s">
        <v>181</v>
      </c>
      <c r="D80" s="550">
        <v>13067</v>
      </c>
      <c r="E80" s="549">
        <v>13903</v>
      </c>
      <c r="F80" s="550">
        <v>13814</v>
      </c>
      <c r="G80" s="549">
        <f t="shared" si="4"/>
        <v>40784</v>
      </c>
      <c r="H80" s="550">
        <v>27469</v>
      </c>
      <c r="I80" s="549">
        <v>34241</v>
      </c>
      <c r="J80" s="550">
        <v>32503</v>
      </c>
      <c r="K80" s="550">
        <f t="shared" si="5"/>
        <v>94213</v>
      </c>
      <c r="L80" s="549">
        <v>0</v>
      </c>
      <c r="M80" s="550">
        <v>0</v>
      </c>
      <c r="N80" s="549">
        <v>0</v>
      </c>
      <c r="O80" s="518">
        <f t="shared" si="6"/>
        <v>0</v>
      </c>
      <c r="P80" s="549">
        <v>46534</v>
      </c>
      <c r="Q80" s="550">
        <v>466</v>
      </c>
      <c r="R80" s="549">
        <v>45376</v>
      </c>
      <c r="S80" s="550">
        <v>45842</v>
      </c>
      <c r="T80" s="556">
        <v>98.51</v>
      </c>
      <c r="U80" s="550">
        <v>287</v>
      </c>
      <c r="V80" s="549">
        <v>431</v>
      </c>
      <c r="W80" s="550">
        <v>46094</v>
      </c>
      <c r="X80" s="549">
        <v>5738</v>
      </c>
      <c r="Y80" s="550">
        <v>0</v>
      </c>
      <c r="Z80" s="549">
        <v>111147</v>
      </c>
      <c r="AA80" s="550">
        <v>884</v>
      </c>
      <c r="AB80" s="549">
        <v>108202</v>
      </c>
      <c r="AC80" s="550">
        <v>109086</v>
      </c>
      <c r="AD80" s="556">
        <v>98.15</v>
      </c>
      <c r="AE80" s="550">
        <v>-2718</v>
      </c>
      <c r="AF80" s="549">
        <v>540</v>
      </c>
      <c r="AG80" s="550">
        <v>106024</v>
      </c>
      <c r="AH80" s="549">
        <v>9940</v>
      </c>
      <c r="AI80" s="550">
        <v>113944956.09999999</v>
      </c>
      <c r="AJ80" s="549">
        <v>37628.400000000001</v>
      </c>
      <c r="AK80" s="550">
        <v>0</v>
      </c>
      <c r="AL80" s="549">
        <v>1488.24</v>
      </c>
      <c r="AM80" s="473">
        <f t="shared" si="7"/>
        <v>56000.090016000002</v>
      </c>
      <c r="AN80" s="141"/>
      <c r="AO80" s="566"/>
      <c r="AP80" s="567"/>
    </row>
    <row r="81" spans="1:42">
      <c r="A81" s="471">
        <v>70</v>
      </c>
      <c r="B81" s="481" t="s">
        <v>182</v>
      </c>
      <c r="C81" s="472" t="s">
        <v>183</v>
      </c>
      <c r="D81" s="550">
        <v>44867</v>
      </c>
      <c r="E81" s="549">
        <v>46414</v>
      </c>
      <c r="F81" s="550">
        <v>46784</v>
      </c>
      <c r="G81" s="549">
        <f t="shared" si="4"/>
        <v>138065</v>
      </c>
      <c r="H81" s="550">
        <v>31039</v>
      </c>
      <c r="I81" s="549">
        <v>31475</v>
      </c>
      <c r="J81" s="550">
        <v>33472</v>
      </c>
      <c r="K81" s="550">
        <f t="shared" si="5"/>
        <v>95986</v>
      </c>
      <c r="L81" s="549">
        <v>0</v>
      </c>
      <c r="M81" s="550">
        <v>0</v>
      </c>
      <c r="N81" s="549">
        <v>0</v>
      </c>
      <c r="O81" s="518">
        <f t="shared" si="6"/>
        <v>0</v>
      </c>
      <c r="P81" s="549">
        <v>161136.39000000001</v>
      </c>
      <c r="Q81" s="550">
        <v>1856.58</v>
      </c>
      <c r="R81" s="549">
        <v>153724.22</v>
      </c>
      <c r="S81" s="550">
        <v>155580.79999999999</v>
      </c>
      <c r="T81" s="556">
        <v>96.55</v>
      </c>
      <c r="U81" s="550">
        <v>4204.53</v>
      </c>
      <c r="V81" s="549">
        <v>1258.4100000000001</v>
      </c>
      <c r="W81" s="550">
        <v>159187</v>
      </c>
      <c r="X81" s="549">
        <v>27799</v>
      </c>
      <c r="Y81" s="550">
        <v>0</v>
      </c>
      <c r="Z81" s="549">
        <v>113668.66</v>
      </c>
      <c r="AA81" s="550">
        <v>1691.83</v>
      </c>
      <c r="AB81" s="549">
        <v>108758.18</v>
      </c>
      <c r="AC81" s="550">
        <v>110450.01</v>
      </c>
      <c r="AD81" s="556">
        <v>97.17</v>
      </c>
      <c r="AE81" s="550">
        <v>1202.33</v>
      </c>
      <c r="AF81" s="549">
        <v>1949</v>
      </c>
      <c r="AG81" s="550">
        <v>111910</v>
      </c>
      <c r="AH81" s="549">
        <v>13708</v>
      </c>
      <c r="AI81" s="550">
        <v>119784074.03</v>
      </c>
      <c r="AJ81" s="549">
        <v>134574</v>
      </c>
      <c r="AK81" s="550">
        <v>0</v>
      </c>
      <c r="AL81" s="549">
        <v>1474.39</v>
      </c>
      <c r="AM81" s="473">
        <f t="shared" si="7"/>
        <v>198414.55986000001</v>
      </c>
      <c r="AN81" s="141"/>
      <c r="AO81" s="566"/>
      <c r="AP81" s="567"/>
    </row>
    <row r="82" spans="1:42">
      <c r="A82" s="471">
        <v>71</v>
      </c>
      <c r="B82" s="481" t="s">
        <v>184</v>
      </c>
      <c r="C82" s="472" t="s">
        <v>185</v>
      </c>
      <c r="D82" s="550">
        <v>22797</v>
      </c>
      <c r="E82" s="549">
        <v>22225</v>
      </c>
      <c r="F82" s="550">
        <v>20938</v>
      </c>
      <c r="G82" s="549">
        <f t="shared" si="4"/>
        <v>65960</v>
      </c>
      <c r="H82" s="550">
        <v>18431</v>
      </c>
      <c r="I82" s="549">
        <v>18326</v>
      </c>
      <c r="J82" s="550">
        <v>15811</v>
      </c>
      <c r="K82" s="550">
        <f t="shared" si="5"/>
        <v>52568</v>
      </c>
      <c r="L82" s="549">
        <v>0</v>
      </c>
      <c r="M82" s="550">
        <v>0</v>
      </c>
      <c r="N82" s="549">
        <v>0</v>
      </c>
      <c r="O82" s="518">
        <f t="shared" si="6"/>
        <v>0</v>
      </c>
      <c r="P82" s="549">
        <v>76202</v>
      </c>
      <c r="Q82" s="550">
        <v>645</v>
      </c>
      <c r="R82" s="549">
        <v>73875</v>
      </c>
      <c r="S82" s="550">
        <v>74520</v>
      </c>
      <c r="T82" s="556">
        <v>97.79</v>
      </c>
      <c r="U82" s="550">
        <v>1326</v>
      </c>
      <c r="V82" s="549">
        <v>692</v>
      </c>
      <c r="W82" s="550">
        <v>75893</v>
      </c>
      <c r="X82" s="549">
        <v>9866</v>
      </c>
      <c r="Y82" s="550">
        <v>0</v>
      </c>
      <c r="Z82" s="549">
        <v>63114</v>
      </c>
      <c r="AA82" s="550">
        <v>1753</v>
      </c>
      <c r="AB82" s="549">
        <v>60408</v>
      </c>
      <c r="AC82" s="550">
        <v>62161</v>
      </c>
      <c r="AD82" s="556">
        <v>98.49</v>
      </c>
      <c r="AE82" s="550">
        <v>-2394</v>
      </c>
      <c r="AF82" s="549">
        <v>349</v>
      </c>
      <c r="AG82" s="550">
        <v>58363</v>
      </c>
      <c r="AH82" s="549">
        <v>7199</v>
      </c>
      <c r="AI82" s="550">
        <v>64827957.539999999</v>
      </c>
      <c r="AJ82" s="549">
        <v>59152.7</v>
      </c>
      <c r="AK82" s="550">
        <v>0</v>
      </c>
      <c r="AL82" s="549">
        <v>1451.53</v>
      </c>
      <c r="AM82" s="473">
        <f t="shared" si="7"/>
        <v>85861.918630999993</v>
      </c>
      <c r="AN82" s="141"/>
      <c r="AO82" s="566"/>
      <c r="AP82" s="567"/>
    </row>
    <row r="83" spans="1:42">
      <c r="A83" s="471">
        <v>72</v>
      </c>
      <c r="B83" s="481" t="s">
        <v>186</v>
      </c>
      <c r="C83" s="472" t="s">
        <v>187</v>
      </c>
      <c r="D83" s="550">
        <v>11867</v>
      </c>
      <c r="E83" s="549">
        <v>12031</v>
      </c>
      <c r="F83" s="550">
        <v>12133</v>
      </c>
      <c r="G83" s="549">
        <f t="shared" si="4"/>
        <v>36031</v>
      </c>
      <c r="H83" s="550">
        <v>10694</v>
      </c>
      <c r="I83" s="549">
        <v>9290</v>
      </c>
      <c r="J83" s="550">
        <v>9038</v>
      </c>
      <c r="K83" s="550">
        <f t="shared" si="5"/>
        <v>29022</v>
      </c>
      <c r="L83" s="549">
        <v>0</v>
      </c>
      <c r="M83" s="550">
        <v>0</v>
      </c>
      <c r="N83" s="549">
        <v>0</v>
      </c>
      <c r="O83" s="518">
        <f t="shared" si="6"/>
        <v>0</v>
      </c>
      <c r="P83" s="549">
        <v>41375</v>
      </c>
      <c r="Q83" s="550">
        <v>502</v>
      </c>
      <c r="R83" s="549">
        <v>39195</v>
      </c>
      <c r="S83" s="550">
        <v>39697</v>
      </c>
      <c r="T83" s="556">
        <v>95.94</v>
      </c>
      <c r="U83" s="550">
        <v>845</v>
      </c>
      <c r="V83" s="549">
        <v>442</v>
      </c>
      <c r="W83" s="550">
        <v>40482</v>
      </c>
      <c r="X83" s="549">
        <v>6843</v>
      </c>
      <c r="Y83" s="550">
        <v>0</v>
      </c>
      <c r="Z83" s="549">
        <v>33729</v>
      </c>
      <c r="AA83" s="550">
        <v>387</v>
      </c>
      <c r="AB83" s="549">
        <v>31912</v>
      </c>
      <c r="AC83" s="550">
        <v>32299</v>
      </c>
      <c r="AD83" s="556">
        <v>95.76</v>
      </c>
      <c r="AE83" s="550">
        <v>-279</v>
      </c>
      <c r="AF83" s="549">
        <v>289</v>
      </c>
      <c r="AG83" s="550">
        <v>31922</v>
      </c>
      <c r="AH83" s="549">
        <v>4001</v>
      </c>
      <c r="AI83" s="550">
        <v>34928423.299999997</v>
      </c>
      <c r="AJ83" s="549">
        <v>35284.6</v>
      </c>
      <c r="AK83" s="550">
        <v>102.6</v>
      </c>
      <c r="AL83" s="549">
        <v>1465.47</v>
      </c>
      <c r="AM83" s="473">
        <f t="shared" si="7"/>
        <v>51858.879983999999</v>
      </c>
      <c r="AN83" s="141"/>
      <c r="AO83" s="566"/>
      <c r="AP83" s="567"/>
    </row>
    <row r="84" spans="1:42">
      <c r="A84" s="471">
        <v>73</v>
      </c>
      <c r="B84" s="481" t="s">
        <v>188</v>
      </c>
      <c r="C84" s="472" t="s">
        <v>189</v>
      </c>
      <c r="D84" s="550">
        <v>13694</v>
      </c>
      <c r="E84" s="549">
        <v>13629</v>
      </c>
      <c r="F84" s="550">
        <v>13380</v>
      </c>
      <c r="G84" s="549">
        <f t="shared" si="4"/>
        <v>40703</v>
      </c>
      <c r="H84" s="550">
        <v>24081</v>
      </c>
      <c r="I84" s="549">
        <v>23150</v>
      </c>
      <c r="J84" s="550">
        <v>22578</v>
      </c>
      <c r="K84" s="550">
        <f t="shared" si="5"/>
        <v>69809</v>
      </c>
      <c r="L84" s="549">
        <v>0</v>
      </c>
      <c r="M84" s="550">
        <v>0</v>
      </c>
      <c r="N84" s="549">
        <v>0</v>
      </c>
      <c r="O84" s="518">
        <f t="shared" si="6"/>
        <v>0</v>
      </c>
      <c r="P84" s="549">
        <v>46012</v>
      </c>
      <c r="Q84" s="550">
        <v>778</v>
      </c>
      <c r="R84" s="549">
        <v>44006</v>
      </c>
      <c r="S84" s="550">
        <v>44784</v>
      </c>
      <c r="T84" s="556">
        <v>97.33</v>
      </c>
      <c r="U84" s="550">
        <v>783</v>
      </c>
      <c r="V84" s="549">
        <v>736</v>
      </c>
      <c r="W84" s="550">
        <v>45525</v>
      </c>
      <c r="X84" s="549">
        <v>6247</v>
      </c>
      <c r="Y84" s="550">
        <v>0</v>
      </c>
      <c r="Z84" s="549">
        <v>82506</v>
      </c>
      <c r="AA84" s="550">
        <v>1071</v>
      </c>
      <c r="AB84" s="549">
        <v>80471</v>
      </c>
      <c r="AC84" s="550">
        <v>81542</v>
      </c>
      <c r="AD84" s="556">
        <v>98.83</v>
      </c>
      <c r="AE84" s="550">
        <v>-1918</v>
      </c>
      <c r="AF84" s="549">
        <v>1634</v>
      </c>
      <c r="AG84" s="550">
        <v>80187</v>
      </c>
      <c r="AH84" s="549">
        <v>8950</v>
      </c>
      <c r="AI84" s="550">
        <v>86000866.810000002</v>
      </c>
      <c r="AJ84" s="549">
        <v>36319.83</v>
      </c>
      <c r="AK84" s="550">
        <v>0</v>
      </c>
      <c r="AL84" s="549">
        <v>1451.91</v>
      </c>
      <c r="AM84" s="473">
        <f t="shared" si="7"/>
        <v>52733.124375300002</v>
      </c>
      <c r="AN84" s="141"/>
      <c r="AO84" s="566"/>
      <c r="AP84" s="567"/>
    </row>
    <row r="85" spans="1:42">
      <c r="A85" s="471">
        <v>74</v>
      </c>
      <c r="B85" s="481" t="s">
        <v>190</v>
      </c>
      <c r="C85" s="472" t="s">
        <v>191</v>
      </c>
      <c r="D85" s="550">
        <v>11669</v>
      </c>
      <c r="E85" s="549">
        <v>11402</v>
      </c>
      <c r="F85" s="550">
        <v>11152</v>
      </c>
      <c r="G85" s="549">
        <f t="shared" si="4"/>
        <v>34223</v>
      </c>
      <c r="H85" s="550">
        <v>11898</v>
      </c>
      <c r="I85" s="549">
        <v>11544</v>
      </c>
      <c r="J85" s="550">
        <v>10553</v>
      </c>
      <c r="K85" s="550">
        <f t="shared" si="5"/>
        <v>33995</v>
      </c>
      <c r="L85" s="549">
        <v>0</v>
      </c>
      <c r="M85" s="550">
        <v>0</v>
      </c>
      <c r="N85" s="549">
        <v>0</v>
      </c>
      <c r="O85" s="518">
        <f t="shared" si="6"/>
        <v>0</v>
      </c>
      <c r="P85" s="549">
        <v>38368</v>
      </c>
      <c r="Q85" s="550">
        <v>489</v>
      </c>
      <c r="R85" s="549">
        <v>37236</v>
      </c>
      <c r="S85" s="550">
        <v>37725</v>
      </c>
      <c r="T85" s="556">
        <v>98.32</v>
      </c>
      <c r="U85" s="550">
        <v>551</v>
      </c>
      <c r="V85" s="549">
        <v>546</v>
      </c>
      <c r="W85" s="550">
        <v>38333</v>
      </c>
      <c r="X85" s="549">
        <v>4784</v>
      </c>
      <c r="Y85" s="550">
        <v>0</v>
      </c>
      <c r="Z85" s="549">
        <v>38925</v>
      </c>
      <c r="AA85" s="550">
        <v>795</v>
      </c>
      <c r="AB85" s="549">
        <v>37684</v>
      </c>
      <c r="AC85" s="550">
        <v>38479</v>
      </c>
      <c r="AD85" s="556">
        <v>98.85</v>
      </c>
      <c r="AE85" s="550">
        <v>1245</v>
      </c>
      <c r="AF85" s="549">
        <v>933</v>
      </c>
      <c r="AG85" s="550">
        <v>39862</v>
      </c>
      <c r="AH85" s="549">
        <v>4681</v>
      </c>
      <c r="AI85" s="550">
        <v>39975866.07</v>
      </c>
      <c r="AJ85" s="549">
        <v>0</v>
      </c>
      <c r="AK85" s="550">
        <v>0</v>
      </c>
      <c r="AL85" s="549">
        <v>1415.35</v>
      </c>
      <c r="AM85" s="473">
        <f t="shared" si="7"/>
        <v>0</v>
      </c>
      <c r="AN85" s="141"/>
      <c r="AO85" s="566"/>
      <c r="AP85" s="567"/>
    </row>
    <row r="86" spans="1:42">
      <c r="A86" s="471">
        <v>75</v>
      </c>
      <c r="B86" s="481" t="s">
        <v>192</v>
      </c>
      <c r="C86" s="472" t="s">
        <v>193</v>
      </c>
      <c r="D86" s="550">
        <v>25415</v>
      </c>
      <c r="E86" s="549">
        <v>24068</v>
      </c>
      <c r="F86" s="550">
        <v>24042</v>
      </c>
      <c r="G86" s="549">
        <f t="shared" si="4"/>
        <v>73525</v>
      </c>
      <c r="H86" s="550">
        <v>27492</v>
      </c>
      <c r="I86" s="549">
        <v>22478</v>
      </c>
      <c r="J86" s="550">
        <v>22885</v>
      </c>
      <c r="K86" s="550">
        <f t="shared" si="5"/>
        <v>72855</v>
      </c>
      <c r="L86" s="549">
        <v>0</v>
      </c>
      <c r="M86" s="550">
        <v>0</v>
      </c>
      <c r="N86" s="549">
        <v>0</v>
      </c>
      <c r="O86" s="518">
        <f t="shared" si="6"/>
        <v>0</v>
      </c>
      <c r="P86" s="549">
        <v>81589</v>
      </c>
      <c r="Q86" s="550">
        <v>1397</v>
      </c>
      <c r="R86" s="549">
        <v>75946</v>
      </c>
      <c r="S86" s="550">
        <v>77343</v>
      </c>
      <c r="T86" s="556">
        <v>94.8</v>
      </c>
      <c r="U86" s="550">
        <v>2050</v>
      </c>
      <c r="V86" s="549">
        <v>824</v>
      </c>
      <c r="W86" s="550">
        <v>78820</v>
      </c>
      <c r="X86" s="549">
        <v>10690</v>
      </c>
      <c r="Y86" s="550">
        <v>0</v>
      </c>
      <c r="Z86" s="549">
        <v>84580</v>
      </c>
      <c r="AA86" s="550">
        <v>389</v>
      </c>
      <c r="AB86" s="549">
        <v>80745</v>
      </c>
      <c r="AC86" s="550">
        <v>81134</v>
      </c>
      <c r="AD86" s="556">
        <v>95.93</v>
      </c>
      <c r="AE86" s="550">
        <v>-408</v>
      </c>
      <c r="AF86" s="549">
        <v>280</v>
      </c>
      <c r="AG86" s="550">
        <v>80617</v>
      </c>
      <c r="AH86" s="549">
        <v>7753</v>
      </c>
      <c r="AI86" s="550">
        <v>89067578.540000007</v>
      </c>
      <c r="AJ86" s="549">
        <v>73968.600000000006</v>
      </c>
      <c r="AK86" s="550">
        <v>0</v>
      </c>
      <c r="AL86" s="549">
        <v>1378.75</v>
      </c>
      <c r="AM86" s="473">
        <f t="shared" si="7"/>
        <v>101984.20725000002</v>
      </c>
      <c r="AN86" s="141"/>
      <c r="AO86" s="566"/>
      <c r="AP86" s="567"/>
    </row>
    <row r="87" spans="1:42">
      <c r="A87" s="471">
        <v>76</v>
      </c>
      <c r="B87" s="481" t="s">
        <v>194</v>
      </c>
      <c r="C87" s="472" t="s">
        <v>195</v>
      </c>
      <c r="D87" s="550">
        <v>12842</v>
      </c>
      <c r="E87" s="549">
        <v>12124</v>
      </c>
      <c r="F87" s="550">
        <v>12490</v>
      </c>
      <c r="G87" s="549">
        <f t="shared" si="4"/>
        <v>37456</v>
      </c>
      <c r="H87" s="550">
        <v>5556</v>
      </c>
      <c r="I87" s="549">
        <v>5362</v>
      </c>
      <c r="J87" s="550">
        <v>4401</v>
      </c>
      <c r="K87" s="550">
        <f t="shared" si="5"/>
        <v>15319</v>
      </c>
      <c r="L87" s="549">
        <v>0</v>
      </c>
      <c r="M87" s="550">
        <v>0</v>
      </c>
      <c r="N87" s="549">
        <v>0</v>
      </c>
      <c r="O87" s="518">
        <f t="shared" si="6"/>
        <v>0</v>
      </c>
      <c r="P87" s="549">
        <v>42091</v>
      </c>
      <c r="Q87" s="550">
        <v>746</v>
      </c>
      <c r="R87" s="549">
        <v>40668</v>
      </c>
      <c r="S87" s="550">
        <v>41414</v>
      </c>
      <c r="T87" s="556">
        <v>98.39</v>
      </c>
      <c r="U87" s="550">
        <v>426</v>
      </c>
      <c r="V87" s="549">
        <v>704</v>
      </c>
      <c r="W87" s="550">
        <v>41798</v>
      </c>
      <c r="X87" s="549">
        <v>4972</v>
      </c>
      <c r="Y87" s="550">
        <v>0</v>
      </c>
      <c r="Z87" s="549">
        <v>16975</v>
      </c>
      <c r="AA87" s="550">
        <v>178</v>
      </c>
      <c r="AB87" s="549">
        <v>16379</v>
      </c>
      <c r="AC87" s="550">
        <v>16557</v>
      </c>
      <c r="AD87" s="556">
        <v>97.54</v>
      </c>
      <c r="AE87" s="550">
        <v>-298</v>
      </c>
      <c r="AF87" s="549">
        <v>160</v>
      </c>
      <c r="AG87" s="550">
        <v>16241</v>
      </c>
      <c r="AH87" s="549">
        <v>1527</v>
      </c>
      <c r="AI87" s="550">
        <v>17569149.41</v>
      </c>
      <c r="AJ87" s="549">
        <v>30151.200000000001</v>
      </c>
      <c r="AK87" s="550">
        <v>0</v>
      </c>
      <c r="AL87" s="549">
        <v>1545.32</v>
      </c>
      <c r="AM87" s="473">
        <f t="shared" si="7"/>
        <v>46593.252383999999</v>
      </c>
      <c r="AN87" s="141"/>
      <c r="AO87" s="566"/>
      <c r="AP87" s="567"/>
    </row>
    <row r="88" spans="1:42">
      <c r="A88" s="471">
        <v>77</v>
      </c>
      <c r="B88" s="481" t="s">
        <v>196</v>
      </c>
      <c r="C88" s="472" t="s">
        <v>197</v>
      </c>
      <c r="D88" s="550">
        <v>27197</v>
      </c>
      <c r="E88" s="549">
        <v>26488</v>
      </c>
      <c r="F88" s="550">
        <v>26965</v>
      </c>
      <c r="G88" s="549">
        <f t="shared" si="4"/>
        <v>80650</v>
      </c>
      <c r="H88" s="550">
        <v>26416</v>
      </c>
      <c r="I88" s="549">
        <v>24583</v>
      </c>
      <c r="J88" s="550">
        <v>23789</v>
      </c>
      <c r="K88" s="550">
        <f t="shared" si="5"/>
        <v>74788</v>
      </c>
      <c r="L88" s="549">
        <v>0</v>
      </c>
      <c r="M88" s="550">
        <v>0</v>
      </c>
      <c r="N88" s="549">
        <v>0</v>
      </c>
      <c r="O88" s="518">
        <f t="shared" si="6"/>
        <v>0</v>
      </c>
      <c r="P88" s="549">
        <v>95587</v>
      </c>
      <c r="Q88" s="550">
        <v>0</v>
      </c>
      <c r="R88" s="549">
        <v>90714</v>
      </c>
      <c r="S88" s="550">
        <v>90714</v>
      </c>
      <c r="T88" s="556">
        <v>94.9</v>
      </c>
      <c r="U88" s="550">
        <v>2670</v>
      </c>
      <c r="V88" s="549">
        <v>582</v>
      </c>
      <c r="W88" s="550">
        <v>93966</v>
      </c>
      <c r="X88" s="549">
        <v>17626</v>
      </c>
      <c r="Y88" s="550">
        <v>0</v>
      </c>
      <c r="Z88" s="549">
        <v>87600</v>
      </c>
      <c r="AA88" s="550">
        <v>559</v>
      </c>
      <c r="AB88" s="549">
        <v>83915</v>
      </c>
      <c r="AC88" s="550">
        <v>84474</v>
      </c>
      <c r="AD88" s="556">
        <v>96.43</v>
      </c>
      <c r="AE88" s="550">
        <v>-1469</v>
      </c>
      <c r="AF88" s="549">
        <v>507</v>
      </c>
      <c r="AG88" s="550">
        <v>82953</v>
      </c>
      <c r="AH88" s="549">
        <v>11743</v>
      </c>
      <c r="AI88" s="550">
        <v>90252751.189999998</v>
      </c>
      <c r="AJ88" s="549">
        <v>91466.2</v>
      </c>
      <c r="AK88" s="550">
        <v>0</v>
      </c>
      <c r="AL88" s="549">
        <v>1331.66</v>
      </c>
      <c r="AM88" s="473">
        <f t="shared" si="7"/>
        <v>121801.87989200001</v>
      </c>
      <c r="AN88" s="141"/>
      <c r="AO88" s="566"/>
      <c r="AP88" s="567"/>
    </row>
    <row r="89" spans="1:42">
      <c r="A89" s="471">
        <v>78</v>
      </c>
      <c r="B89" s="481" t="s">
        <v>198</v>
      </c>
      <c r="C89" s="472" t="s">
        <v>199</v>
      </c>
      <c r="D89" s="550">
        <v>15422</v>
      </c>
      <c r="E89" s="549">
        <v>14967</v>
      </c>
      <c r="F89" s="550">
        <v>14828</v>
      </c>
      <c r="G89" s="549">
        <f t="shared" si="4"/>
        <v>45217</v>
      </c>
      <c r="H89" s="550">
        <v>11846</v>
      </c>
      <c r="I89" s="549">
        <v>8864</v>
      </c>
      <c r="J89" s="550">
        <v>9553</v>
      </c>
      <c r="K89" s="550">
        <f t="shared" si="5"/>
        <v>30263</v>
      </c>
      <c r="L89" s="549">
        <v>0</v>
      </c>
      <c r="M89" s="550">
        <v>0</v>
      </c>
      <c r="N89" s="549">
        <v>0</v>
      </c>
      <c r="O89" s="518">
        <f t="shared" si="6"/>
        <v>0</v>
      </c>
      <c r="P89" s="549">
        <v>50425</v>
      </c>
      <c r="Q89" s="550">
        <v>324</v>
      </c>
      <c r="R89" s="549">
        <v>49105</v>
      </c>
      <c r="S89" s="550">
        <v>49429</v>
      </c>
      <c r="T89" s="556">
        <v>98.02</v>
      </c>
      <c r="U89" s="550">
        <v>826</v>
      </c>
      <c r="V89" s="549">
        <v>330</v>
      </c>
      <c r="W89" s="550">
        <v>50261</v>
      </c>
      <c r="X89" s="549">
        <v>7349</v>
      </c>
      <c r="Y89" s="550">
        <v>0</v>
      </c>
      <c r="Z89" s="549">
        <v>33992</v>
      </c>
      <c r="AA89" s="550">
        <v>190</v>
      </c>
      <c r="AB89" s="549">
        <v>32385</v>
      </c>
      <c r="AC89" s="550">
        <v>32575</v>
      </c>
      <c r="AD89" s="556">
        <v>95.83</v>
      </c>
      <c r="AE89" s="550">
        <v>-139</v>
      </c>
      <c r="AF89" s="549">
        <v>33</v>
      </c>
      <c r="AG89" s="550">
        <v>32279</v>
      </c>
      <c r="AH89" s="549">
        <v>3216</v>
      </c>
      <c r="AI89" s="550">
        <v>38080275.939999998</v>
      </c>
      <c r="AJ89" s="549">
        <v>41854.199999999997</v>
      </c>
      <c r="AK89" s="550">
        <v>0</v>
      </c>
      <c r="AL89" s="549">
        <v>1484.49</v>
      </c>
      <c r="AM89" s="473">
        <f t="shared" si="7"/>
        <v>62132.141357999993</v>
      </c>
      <c r="AN89" s="141"/>
      <c r="AO89" s="566"/>
      <c r="AP89" s="567"/>
    </row>
    <row r="90" spans="1:42">
      <c r="A90" s="471">
        <v>79</v>
      </c>
      <c r="B90" s="481" t="s">
        <v>200</v>
      </c>
      <c r="C90" s="472" t="s">
        <v>201</v>
      </c>
      <c r="D90" s="550">
        <v>31251</v>
      </c>
      <c r="E90" s="549">
        <v>30813</v>
      </c>
      <c r="F90" s="550">
        <v>31021</v>
      </c>
      <c r="G90" s="549">
        <f t="shared" si="4"/>
        <v>93085</v>
      </c>
      <c r="H90" s="550">
        <v>30536</v>
      </c>
      <c r="I90" s="549">
        <v>24679</v>
      </c>
      <c r="J90" s="550">
        <v>25249</v>
      </c>
      <c r="K90" s="550">
        <f t="shared" si="5"/>
        <v>80464</v>
      </c>
      <c r="L90" s="549">
        <v>0</v>
      </c>
      <c r="M90" s="550">
        <v>0</v>
      </c>
      <c r="N90" s="549">
        <v>0</v>
      </c>
      <c r="O90" s="518">
        <f t="shared" si="6"/>
        <v>0</v>
      </c>
      <c r="P90" s="549">
        <v>103982</v>
      </c>
      <c r="Q90" s="550">
        <v>683</v>
      </c>
      <c r="R90" s="549">
        <v>101260</v>
      </c>
      <c r="S90" s="550">
        <v>101943</v>
      </c>
      <c r="T90" s="556">
        <v>98.04</v>
      </c>
      <c r="U90" s="550">
        <v>2078</v>
      </c>
      <c r="V90" s="549">
        <v>667</v>
      </c>
      <c r="W90" s="550">
        <v>104005</v>
      </c>
      <c r="X90" s="549">
        <v>13839</v>
      </c>
      <c r="Y90" s="550">
        <v>0</v>
      </c>
      <c r="Z90" s="549">
        <v>94446</v>
      </c>
      <c r="AA90" s="550">
        <v>619</v>
      </c>
      <c r="AB90" s="549">
        <v>91131</v>
      </c>
      <c r="AC90" s="550">
        <v>91750</v>
      </c>
      <c r="AD90" s="556">
        <v>97.15</v>
      </c>
      <c r="AE90" s="550">
        <v>1689</v>
      </c>
      <c r="AF90" s="549">
        <v>367</v>
      </c>
      <c r="AG90" s="550">
        <v>93187</v>
      </c>
      <c r="AH90" s="549">
        <v>12468</v>
      </c>
      <c r="AI90" s="550">
        <v>101043626.81999999</v>
      </c>
      <c r="AJ90" s="549">
        <v>101970.4</v>
      </c>
      <c r="AK90" s="550">
        <v>0</v>
      </c>
      <c r="AL90" s="549">
        <v>1280.6199999999999</v>
      </c>
      <c r="AM90" s="473">
        <f t="shared" si="7"/>
        <v>130585.33364799999</v>
      </c>
      <c r="AN90" s="141"/>
      <c r="AO90" s="566"/>
      <c r="AP90" s="567"/>
    </row>
    <row r="91" spans="1:42">
      <c r="A91" s="471">
        <v>80</v>
      </c>
      <c r="B91" s="481" t="s">
        <v>202</v>
      </c>
      <c r="C91" s="472" t="s">
        <v>820</v>
      </c>
      <c r="D91" s="550">
        <v>59717</v>
      </c>
      <c r="E91" s="549">
        <v>58923</v>
      </c>
      <c r="F91" s="550">
        <v>59638</v>
      </c>
      <c r="G91" s="549">
        <f t="shared" si="4"/>
        <v>178278</v>
      </c>
      <c r="H91" s="550">
        <v>42023</v>
      </c>
      <c r="I91" s="549">
        <v>28861</v>
      </c>
      <c r="J91" s="550">
        <v>27769</v>
      </c>
      <c r="K91" s="550">
        <f t="shared" si="5"/>
        <v>98653</v>
      </c>
      <c r="L91" s="549">
        <v>0</v>
      </c>
      <c r="M91" s="550">
        <v>0</v>
      </c>
      <c r="N91" s="549">
        <v>0</v>
      </c>
      <c r="O91" s="518">
        <f t="shared" si="6"/>
        <v>0</v>
      </c>
      <c r="P91" s="549">
        <v>203630</v>
      </c>
      <c r="Q91" s="550">
        <v>2393</v>
      </c>
      <c r="R91" s="549">
        <v>191060</v>
      </c>
      <c r="S91" s="550">
        <v>193453</v>
      </c>
      <c r="T91" s="556">
        <v>95</v>
      </c>
      <c r="U91" s="550">
        <v>5992</v>
      </c>
      <c r="V91" s="549">
        <v>2259</v>
      </c>
      <c r="W91" s="550">
        <v>199311</v>
      </c>
      <c r="X91" s="549">
        <v>27786</v>
      </c>
      <c r="Y91" s="550">
        <v>0</v>
      </c>
      <c r="Z91" s="549">
        <v>111493</v>
      </c>
      <c r="AA91" s="550">
        <v>1157</v>
      </c>
      <c r="AB91" s="549">
        <v>105777</v>
      </c>
      <c r="AC91" s="550">
        <v>106934</v>
      </c>
      <c r="AD91" s="556">
        <v>95.91</v>
      </c>
      <c r="AE91" s="550">
        <v>-316</v>
      </c>
      <c r="AF91" s="549">
        <v>409</v>
      </c>
      <c r="AG91" s="550">
        <v>105870</v>
      </c>
      <c r="AH91" s="549">
        <v>11380</v>
      </c>
      <c r="AI91" s="550">
        <v>116451146.39</v>
      </c>
      <c r="AJ91" s="549">
        <v>160595.1</v>
      </c>
      <c r="AK91" s="550">
        <v>0</v>
      </c>
      <c r="AL91" s="549">
        <v>1607.64</v>
      </c>
      <c r="AM91" s="473">
        <f t="shared" si="7"/>
        <v>258179.10656400005</v>
      </c>
      <c r="AN91" s="141"/>
      <c r="AO91" s="566"/>
      <c r="AP91" s="567"/>
    </row>
    <row r="92" spans="1:42">
      <c r="A92" s="471">
        <v>81</v>
      </c>
      <c r="B92" s="481" t="s">
        <v>203</v>
      </c>
      <c r="C92" s="472" t="s">
        <v>204</v>
      </c>
      <c r="D92" s="550">
        <v>41052</v>
      </c>
      <c r="E92" s="549">
        <v>39807</v>
      </c>
      <c r="F92" s="550">
        <v>40533</v>
      </c>
      <c r="G92" s="549">
        <f t="shared" si="4"/>
        <v>121392</v>
      </c>
      <c r="H92" s="550">
        <v>42431</v>
      </c>
      <c r="I92" s="549">
        <v>43094</v>
      </c>
      <c r="J92" s="550">
        <v>38999</v>
      </c>
      <c r="K92" s="550">
        <f t="shared" si="5"/>
        <v>124524</v>
      </c>
      <c r="L92" s="549">
        <v>0</v>
      </c>
      <c r="M92" s="550">
        <v>0</v>
      </c>
      <c r="N92" s="549">
        <v>0</v>
      </c>
      <c r="O92" s="518">
        <f t="shared" si="6"/>
        <v>0</v>
      </c>
      <c r="P92" s="549">
        <v>136268</v>
      </c>
      <c r="Q92" s="550">
        <v>2642</v>
      </c>
      <c r="R92" s="549">
        <v>130123</v>
      </c>
      <c r="S92" s="550">
        <v>132765</v>
      </c>
      <c r="T92" s="556">
        <v>97.43</v>
      </c>
      <c r="U92" s="550">
        <v>2986</v>
      </c>
      <c r="V92" s="549">
        <v>2904</v>
      </c>
      <c r="W92" s="550">
        <v>136013</v>
      </c>
      <c r="X92" s="549">
        <v>20711</v>
      </c>
      <c r="Y92" s="550">
        <v>0</v>
      </c>
      <c r="Z92" s="549">
        <v>148324</v>
      </c>
      <c r="AA92" s="550">
        <v>1473</v>
      </c>
      <c r="AB92" s="549">
        <v>142150</v>
      </c>
      <c r="AC92" s="550">
        <v>143623</v>
      </c>
      <c r="AD92" s="556">
        <v>96.83</v>
      </c>
      <c r="AE92" s="550">
        <v>-3601</v>
      </c>
      <c r="AF92" s="549">
        <v>1901</v>
      </c>
      <c r="AG92" s="550">
        <v>140450</v>
      </c>
      <c r="AH92" s="549">
        <v>17865</v>
      </c>
      <c r="AI92" s="550">
        <v>147114905.06999999</v>
      </c>
      <c r="AJ92" s="549">
        <v>123424.36</v>
      </c>
      <c r="AK92" s="550">
        <v>0</v>
      </c>
      <c r="AL92" s="549">
        <v>1362.93</v>
      </c>
      <c r="AM92" s="473">
        <f t="shared" si="7"/>
        <v>168218.76297480002</v>
      </c>
      <c r="AN92" s="141"/>
      <c r="AO92" s="566"/>
      <c r="AP92" s="567"/>
    </row>
    <row r="93" spans="1:42">
      <c r="A93" s="471">
        <v>82</v>
      </c>
      <c r="B93" s="481" t="s">
        <v>205</v>
      </c>
      <c r="C93" s="472" t="s">
        <v>206</v>
      </c>
      <c r="D93" s="550">
        <v>12116</v>
      </c>
      <c r="E93" s="549">
        <v>12272</v>
      </c>
      <c r="F93" s="550">
        <v>12298</v>
      </c>
      <c r="G93" s="549">
        <f t="shared" si="4"/>
        <v>36686</v>
      </c>
      <c r="H93" s="550">
        <v>5578</v>
      </c>
      <c r="I93" s="549">
        <v>4928</v>
      </c>
      <c r="J93" s="550">
        <v>4660</v>
      </c>
      <c r="K93" s="550">
        <f t="shared" si="5"/>
        <v>15166</v>
      </c>
      <c r="L93" s="549">
        <v>0</v>
      </c>
      <c r="M93" s="550">
        <v>0</v>
      </c>
      <c r="N93" s="549">
        <v>0</v>
      </c>
      <c r="O93" s="518">
        <f t="shared" si="6"/>
        <v>0</v>
      </c>
      <c r="P93" s="549">
        <v>40773</v>
      </c>
      <c r="Q93" s="550">
        <v>688</v>
      </c>
      <c r="R93" s="549">
        <v>39543</v>
      </c>
      <c r="S93" s="550">
        <v>40231</v>
      </c>
      <c r="T93" s="556">
        <v>98.67</v>
      </c>
      <c r="U93" s="550">
        <v>366</v>
      </c>
      <c r="V93" s="549">
        <v>655</v>
      </c>
      <c r="W93" s="550">
        <v>40564</v>
      </c>
      <c r="X93" s="549">
        <v>5100</v>
      </c>
      <c r="Y93" s="550">
        <v>0</v>
      </c>
      <c r="Z93" s="549">
        <v>17494</v>
      </c>
      <c r="AA93" s="550">
        <v>220</v>
      </c>
      <c r="AB93" s="549">
        <v>17046</v>
      </c>
      <c r="AC93" s="550">
        <v>17266</v>
      </c>
      <c r="AD93" s="556">
        <v>98.7</v>
      </c>
      <c r="AE93" s="550">
        <v>-110</v>
      </c>
      <c r="AF93" s="549">
        <v>101</v>
      </c>
      <c r="AG93" s="550">
        <v>17037</v>
      </c>
      <c r="AH93" s="549">
        <v>1851</v>
      </c>
      <c r="AI93" s="550">
        <v>18296161.16</v>
      </c>
      <c r="AJ93" s="549">
        <v>30350</v>
      </c>
      <c r="AK93" s="550">
        <v>0</v>
      </c>
      <c r="AL93" s="549">
        <v>1541.58</v>
      </c>
      <c r="AM93" s="473">
        <f t="shared" si="7"/>
        <v>46786.953000000001</v>
      </c>
      <c r="AN93" s="141"/>
      <c r="AO93" s="566"/>
      <c r="AP93" s="567"/>
    </row>
    <row r="94" spans="1:42">
      <c r="A94" s="471">
        <v>83</v>
      </c>
      <c r="B94" s="481" t="s">
        <v>207</v>
      </c>
      <c r="C94" s="472" t="s">
        <v>208</v>
      </c>
      <c r="D94" s="550">
        <v>24170</v>
      </c>
      <c r="E94" s="549">
        <v>22799</v>
      </c>
      <c r="F94" s="550">
        <v>24024</v>
      </c>
      <c r="G94" s="549">
        <f t="shared" si="4"/>
        <v>70993</v>
      </c>
      <c r="H94" s="550">
        <v>9839</v>
      </c>
      <c r="I94" s="549">
        <v>8863</v>
      </c>
      <c r="J94" s="550">
        <v>8722</v>
      </c>
      <c r="K94" s="550">
        <f t="shared" si="5"/>
        <v>27424</v>
      </c>
      <c r="L94" s="549">
        <v>0</v>
      </c>
      <c r="M94" s="550">
        <v>0</v>
      </c>
      <c r="N94" s="549">
        <v>0</v>
      </c>
      <c r="O94" s="518">
        <f t="shared" si="6"/>
        <v>0</v>
      </c>
      <c r="P94" s="549">
        <v>78947</v>
      </c>
      <c r="Q94" s="550">
        <v>1150</v>
      </c>
      <c r="R94" s="549">
        <v>76743</v>
      </c>
      <c r="S94" s="550">
        <v>77893</v>
      </c>
      <c r="T94" s="556">
        <v>98.66</v>
      </c>
      <c r="U94" s="550">
        <v>511</v>
      </c>
      <c r="V94" s="549">
        <v>1111</v>
      </c>
      <c r="W94" s="550">
        <v>78365</v>
      </c>
      <c r="X94" s="549">
        <v>9969</v>
      </c>
      <c r="Y94" s="550">
        <v>0</v>
      </c>
      <c r="Z94" s="549">
        <v>30714</v>
      </c>
      <c r="AA94" s="550">
        <v>320</v>
      </c>
      <c r="AB94" s="549">
        <v>29983</v>
      </c>
      <c r="AC94" s="550">
        <v>30303</v>
      </c>
      <c r="AD94" s="556">
        <v>98.66</v>
      </c>
      <c r="AE94" s="550">
        <v>-445</v>
      </c>
      <c r="AF94" s="549">
        <v>364</v>
      </c>
      <c r="AG94" s="550">
        <v>29902</v>
      </c>
      <c r="AH94" s="549">
        <v>3307</v>
      </c>
      <c r="AI94" s="550">
        <v>32353277.029999997</v>
      </c>
      <c r="AJ94" s="549">
        <v>59006.400000000001</v>
      </c>
      <c r="AK94" s="550">
        <v>131</v>
      </c>
      <c r="AL94" s="549">
        <v>1513.56</v>
      </c>
      <c r="AM94" s="473">
        <f t="shared" si="7"/>
        <v>89508.003143999988</v>
      </c>
      <c r="AN94" s="141"/>
      <c r="AO94" s="566"/>
      <c r="AP94" s="567"/>
    </row>
    <row r="95" spans="1:42">
      <c r="A95" s="471">
        <v>84</v>
      </c>
      <c r="B95" s="481" t="s">
        <v>209</v>
      </c>
      <c r="C95" s="472" t="s">
        <v>210</v>
      </c>
      <c r="D95" s="550">
        <v>17396</v>
      </c>
      <c r="E95" s="549">
        <v>17095</v>
      </c>
      <c r="F95" s="550">
        <v>17423</v>
      </c>
      <c r="G95" s="549">
        <f t="shared" si="4"/>
        <v>51914</v>
      </c>
      <c r="H95" s="550">
        <v>6920</v>
      </c>
      <c r="I95" s="549">
        <v>5441</v>
      </c>
      <c r="J95" s="550">
        <v>6301</v>
      </c>
      <c r="K95" s="550">
        <f t="shared" si="5"/>
        <v>18662</v>
      </c>
      <c r="L95" s="549">
        <v>0</v>
      </c>
      <c r="M95" s="550">
        <v>0</v>
      </c>
      <c r="N95" s="549">
        <v>0</v>
      </c>
      <c r="O95" s="518">
        <f t="shared" si="6"/>
        <v>0</v>
      </c>
      <c r="P95" s="549">
        <v>58502</v>
      </c>
      <c r="Q95" s="550">
        <v>550</v>
      </c>
      <c r="R95" s="549">
        <v>57220</v>
      </c>
      <c r="S95" s="550">
        <v>57770</v>
      </c>
      <c r="T95" s="556">
        <v>98.75</v>
      </c>
      <c r="U95" s="550">
        <v>353</v>
      </c>
      <c r="V95" s="549">
        <v>581</v>
      </c>
      <c r="W95" s="550">
        <v>58154</v>
      </c>
      <c r="X95" s="549">
        <v>7067</v>
      </c>
      <c r="Y95" s="550">
        <v>0</v>
      </c>
      <c r="Z95" s="549">
        <v>21200</v>
      </c>
      <c r="AA95" s="550">
        <v>102</v>
      </c>
      <c r="AB95" s="549">
        <v>20655</v>
      </c>
      <c r="AC95" s="550">
        <v>20757</v>
      </c>
      <c r="AD95" s="556">
        <v>97.91</v>
      </c>
      <c r="AE95" s="550">
        <v>-190</v>
      </c>
      <c r="AF95" s="549">
        <v>182</v>
      </c>
      <c r="AG95" s="550">
        <v>20647</v>
      </c>
      <c r="AH95" s="549">
        <v>2170</v>
      </c>
      <c r="AI95" s="550">
        <v>22306840.5</v>
      </c>
      <c r="AJ95" s="549">
        <v>39439</v>
      </c>
      <c r="AK95" s="550">
        <v>52.2</v>
      </c>
      <c r="AL95" s="549">
        <v>1652.5</v>
      </c>
      <c r="AM95" s="473">
        <f t="shared" si="7"/>
        <v>65259.207999999991</v>
      </c>
      <c r="AN95" s="141"/>
      <c r="AO95" s="566"/>
      <c r="AP95" s="567"/>
    </row>
    <row r="96" spans="1:42">
      <c r="A96" s="471">
        <v>85</v>
      </c>
      <c r="B96" s="481" t="s">
        <v>211</v>
      </c>
      <c r="C96" s="472" t="s">
        <v>212</v>
      </c>
      <c r="D96" s="550">
        <v>19376</v>
      </c>
      <c r="E96" s="549">
        <v>19196</v>
      </c>
      <c r="F96" s="550">
        <v>19574</v>
      </c>
      <c r="G96" s="549">
        <f t="shared" si="4"/>
        <v>58146</v>
      </c>
      <c r="H96" s="550">
        <v>9835</v>
      </c>
      <c r="I96" s="549">
        <v>7771</v>
      </c>
      <c r="J96" s="550">
        <v>7330</v>
      </c>
      <c r="K96" s="550">
        <f t="shared" si="5"/>
        <v>24936</v>
      </c>
      <c r="L96" s="549">
        <v>0</v>
      </c>
      <c r="M96" s="550">
        <v>0</v>
      </c>
      <c r="N96" s="549">
        <v>0</v>
      </c>
      <c r="O96" s="518">
        <f t="shared" si="6"/>
        <v>0</v>
      </c>
      <c r="P96" s="549">
        <v>65489</v>
      </c>
      <c r="Q96" s="550">
        <v>581</v>
      </c>
      <c r="R96" s="549">
        <v>64119</v>
      </c>
      <c r="S96" s="550">
        <v>64700</v>
      </c>
      <c r="T96" s="556">
        <v>98.8</v>
      </c>
      <c r="U96" s="550">
        <v>315</v>
      </c>
      <c r="V96" s="549">
        <v>642</v>
      </c>
      <c r="W96" s="550">
        <v>65076</v>
      </c>
      <c r="X96" s="549">
        <v>11775</v>
      </c>
      <c r="Y96" s="550">
        <v>0</v>
      </c>
      <c r="Z96" s="549">
        <v>27409</v>
      </c>
      <c r="AA96" s="550">
        <v>223</v>
      </c>
      <c r="AB96" s="549">
        <v>26902</v>
      </c>
      <c r="AC96" s="550">
        <v>27125</v>
      </c>
      <c r="AD96" s="556">
        <v>98.96</v>
      </c>
      <c r="AE96" s="550">
        <v>-200</v>
      </c>
      <c r="AF96" s="549">
        <v>202</v>
      </c>
      <c r="AG96" s="550">
        <v>26904</v>
      </c>
      <c r="AH96" s="549">
        <v>3940</v>
      </c>
      <c r="AI96" s="550">
        <v>30086632.310000002</v>
      </c>
      <c r="AJ96" s="549">
        <v>48988.08</v>
      </c>
      <c r="AK96" s="550">
        <v>304</v>
      </c>
      <c r="AL96" s="549">
        <v>1450.32</v>
      </c>
      <c r="AM96" s="473">
        <f t="shared" si="7"/>
        <v>71489.289465599999</v>
      </c>
      <c r="AN96" s="141"/>
      <c r="AO96" s="566"/>
      <c r="AP96" s="567"/>
    </row>
    <row r="97" spans="1:42">
      <c r="A97" s="471">
        <v>86</v>
      </c>
      <c r="B97" s="481" t="s">
        <v>213</v>
      </c>
      <c r="C97" s="472" t="s">
        <v>214</v>
      </c>
      <c r="D97" s="550">
        <v>23066</v>
      </c>
      <c r="E97" s="549">
        <v>22358</v>
      </c>
      <c r="F97" s="550">
        <v>22708</v>
      </c>
      <c r="G97" s="549">
        <f t="shared" si="4"/>
        <v>68132</v>
      </c>
      <c r="H97" s="550">
        <v>14332</v>
      </c>
      <c r="I97" s="549">
        <v>11760</v>
      </c>
      <c r="J97" s="550">
        <v>12854</v>
      </c>
      <c r="K97" s="550">
        <f t="shared" si="5"/>
        <v>38946</v>
      </c>
      <c r="L97" s="549">
        <v>0</v>
      </c>
      <c r="M97" s="550">
        <v>0</v>
      </c>
      <c r="N97" s="549">
        <v>0</v>
      </c>
      <c r="O97" s="518">
        <f t="shared" si="6"/>
        <v>0</v>
      </c>
      <c r="P97" s="549">
        <v>81102</v>
      </c>
      <c r="Q97" s="550">
        <v>404</v>
      </c>
      <c r="R97" s="549">
        <v>79414</v>
      </c>
      <c r="S97" s="550">
        <v>79818</v>
      </c>
      <c r="T97" s="556">
        <v>98.42</v>
      </c>
      <c r="U97" s="550">
        <v>550</v>
      </c>
      <c r="V97" s="549">
        <v>366</v>
      </c>
      <c r="W97" s="550">
        <v>80330</v>
      </c>
      <c r="X97" s="549">
        <v>13558</v>
      </c>
      <c r="Y97" s="550">
        <v>0</v>
      </c>
      <c r="Z97" s="549">
        <v>44055</v>
      </c>
      <c r="AA97" s="550">
        <v>106</v>
      </c>
      <c r="AB97" s="549">
        <v>42609</v>
      </c>
      <c r="AC97" s="550">
        <v>42715</v>
      </c>
      <c r="AD97" s="556">
        <v>96.96</v>
      </c>
      <c r="AE97" s="550">
        <v>-1052</v>
      </c>
      <c r="AF97" s="549">
        <v>224</v>
      </c>
      <c r="AG97" s="550">
        <v>41781</v>
      </c>
      <c r="AH97" s="549">
        <v>4525</v>
      </c>
      <c r="AI97" s="550">
        <v>45764615.640000001</v>
      </c>
      <c r="AJ97" s="549">
        <v>59431</v>
      </c>
      <c r="AK97" s="550">
        <v>0</v>
      </c>
      <c r="AL97" s="549">
        <v>1486.11</v>
      </c>
      <c r="AM97" s="473">
        <f t="shared" si="7"/>
        <v>88321.00340999999</v>
      </c>
      <c r="AN97" s="141"/>
      <c r="AO97" s="566"/>
      <c r="AP97" s="567"/>
    </row>
    <row r="98" spans="1:42">
      <c r="A98" s="471">
        <v>87</v>
      </c>
      <c r="B98" s="481" t="s">
        <v>215</v>
      </c>
      <c r="C98" s="472" t="s">
        <v>216</v>
      </c>
      <c r="D98" s="550">
        <v>16104</v>
      </c>
      <c r="E98" s="549">
        <v>16615</v>
      </c>
      <c r="F98" s="550">
        <v>16313</v>
      </c>
      <c r="G98" s="549">
        <f t="shared" si="4"/>
        <v>49032</v>
      </c>
      <c r="H98" s="550">
        <v>12206</v>
      </c>
      <c r="I98" s="549">
        <v>8544</v>
      </c>
      <c r="J98" s="550">
        <v>8475</v>
      </c>
      <c r="K98" s="550">
        <f t="shared" si="5"/>
        <v>29225</v>
      </c>
      <c r="L98" s="549">
        <v>0</v>
      </c>
      <c r="M98" s="550">
        <v>0</v>
      </c>
      <c r="N98" s="549">
        <v>0</v>
      </c>
      <c r="O98" s="518">
        <f t="shared" si="6"/>
        <v>0</v>
      </c>
      <c r="P98" s="549">
        <v>54693</v>
      </c>
      <c r="Q98" s="550">
        <v>1184</v>
      </c>
      <c r="R98" s="549">
        <v>52412</v>
      </c>
      <c r="S98" s="550">
        <v>53596</v>
      </c>
      <c r="T98" s="556">
        <v>97.99</v>
      </c>
      <c r="U98" s="550">
        <v>718</v>
      </c>
      <c r="V98" s="549">
        <v>1200</v>
      </c>
      <c r="W98" s="550">
        <v>54330</v>
      </c>
      <c r="X98" s="549">
        <v>7699</v>
      </c>
      <c r="Y98" s="550">
        <v>0</v>
      </c>
      <c r="Z98" s="549">
        <v>32761</v>
      </c>
      <c r="AA98" s="550">
        <v>648</v>
      </c>
      <c r="AB98" s="549">
        <v>31004</v>
      </c>
      <c r="AC98" s="550">
        <v>31652</v>
      </c>
      <c r="AD98" s="556">
        <v>96.61</v>
      </c>
      <c r="AE98" s="550">
        <v>-183</v>
      </c>
      <c r="AF98" s="549">
        <v>419</v>
      </c>
      <c r="AG98" s="550">
        <v>31240</v>
      </c>
      <c r="AH98" s="549">
        <v>2783</v>
      </c>
      <c r="AI98" s="550">
        <v>34359001.039999999</v>
      </c>
      <c r="AJ98" s="549">
        <v>47984</v>
      </c>
      <c r="AK98" s="550">
        <v>246</v>
      </c>
      <c r="AL98" s="549">
        <v>1406.56</v>
      </c>
      <c r="AM98" s="473">
        <f t="shared" si="7"/>
        <v>67838.388800000001</v>
      </c>
      <c r="AN98" s="141"/>
      <c r="AO98" s="566"/>
      <c r="AP98" s="567"/>
    </row>
    <row r="99" spans="1:42">
      <c r="A99" s="471">
        <v>88</v>
      </c>
      <c r="B99" s="481" t="s">
        <v>217</v>
      </c>
      <c r="C99" s="472" t="s">
        <v>218</v>
      </c>
      <c r="D99" s="550">
        <v>12061</v>
      </c>
      <c r="E99" s="549">
        <v>11848</v>
      </c>
      <c r="F99" s="550">
        <v>11804</v>
      </c>
      <c r="G99" s="549">
        <f t="shared" si="4"/>
        <v>35713</v>
      </c>
      <c r="H99" s="550">
        <v>6656</v>
      </c>
      <c r="I99" s="549">
        <v>6295</v>
      </c>
      <c r="J99" s="550">
        <v>6053</v>
      </c>
      <c r="K99" s="550">
        <f t="shared" si="5"/>
        <v>19004</v>
      </c>
      <c r="L99" s="549">
        <v>0</v>
      </c>
      <c r="M99" s="550">
        <v>0</v>
      </c>
      <c r="N99" s="549">
        <v>0</v>
      </c>
      <c r="O99" s="518">
        <f t="shared" si="6"/>
        <v>0</v>
      </c>
      <c r="P99" s="549">
        <v>39147</v>
      </c>
      <c r="Q99" s="550">
        <v>426</v>
      </c>
      <c r="R99" s="549">
        <v>37997</v>
      </c>
      <c r="S99" s="550">
        <v>38423</v>
      </c>
      <c r="T99" s="556">
        <v>98.15</v>
      </c>
      <c r="U99" s="550">
        <v>454</v>
      </c>
      <c r="V99" s="549">
        <v>382</v>
      </c>
      <c r="W99" s="550">
        <v>38833</v>
      </c>
      <c r="X99" s="549">
        <v>4786</v>
      </c>
      <c r="Y99" s="550">
        <v>0</v>
      </c>
      <c r="Z99" s="549">
        <v>20864</v>
      </c>
      <c r="AA99" s="550">
        <v>312</v>
      </c>
      <c r="AB99" s="549">
        <v>20520</v>
      </c>
      <c r="AC99" s="550">
        <v>20832</v>
      </c>
      <c r="AD99" s="556">
        <v>99.85</v>
      </c>
      <c r="AE99" s="550">
        <v>263</v>
      </c>
      <c r="AF99" s="549">
        <v>40</v>
      </c>
      <c r="AG99" s="550">
        <v>20823</v>
      </c>
      <c r="AH99" s="549">
        <v>2341</v>
      </c>
      <c r="AI99" s="550">
        <v>21337125.66</v>
      </c>
      <c r="AJ99" s="549">
        <v>31597.5</v>
      </c>
      <c r="AK99" s="550">
        <v>0</v>
      </c>
      <c r="AL99" s="549">
        <v>1427.62</v>
      </c>
      <c r="AM99" s="473">
        <f t="shared" si="7"/>
        <v>45109.222949999996</v>
      </c>
      <c r="AN99" s="141"/>
      <c r="AO99" s="566"/>
      <c r="AP99" s="567"/>
    </row>
    <row r="100" spans="1:42">
      <c r="A100" s="471">
        <v>89</v>
      </c>
      <c r="B100" s="481" t="s">
        <v>219</v>
      </c>
      <c r="C100" s="472" t="s">
        <v>220</v>
      </c>
      <c r="D100" s="550">
        <v>48443</v>
      </c>
      <c r="E100" s="549">
        <v>47828</v>
      </c>
      <c r="F100" s="550">
        <v>46962</v>
      </c>
      <c r="G100" s="549">
        <f t="shared" si="4"/>
        <v>143233</v>
      </c>
      <c r="H100" s="550">
        <v>28852</v>
      </c>
      <c r="I100" s="549">
        <v>27757</v>
      </c>
      <c r="J100" s="550">
        <v>23551</v>
      </c>
      <c r="K100" s="550">
        <f t="shared" si="5"/>
        <v>80160</v>
      </c>
      <c r="L100" s="549">
        <v>0</v>
      </c>
      <c r="M100" s="550">
        <v>0</v>
      </c>
      <c r="N100" s="549">
        <v>0</v>
      </c>
      <c r="O100" s="518">
        <f t="shared" si="6"/>
        <v>0</v>
      </c>
      <c r="P100" s="549">
        <v>160058</v>
      </c>
      <c r="Q100" s="550">
        <v>1992</v>
      </c>
      <c r="R100" s="549">
        <v>155061</v>
      </c>
      <c r="S100" s="550">
        <v>157053</v>
      </c>
      <c r="T100" s="556">
        <v>98.12</v>
      </c>
      <c r="U100" s="550">
        <v>1632</v>
      </c>
      <c r="V100" s="549">
        <v>2304</v>
      </c>
      <c r="W100" s="550">
        <v>158997</v>
      </c>
      <c r="X100" s="549">
        <v>19951</v>
      </c>
      <c r="Y100" s="550">
        <v>0</v>
      </c>
      <c r="Z100" s="549">
        <v>87614</v>
      </c>
      <c r="AA100" s="550">
        <v>527</v>
      </c>
      <c r="AB100" s="549">
        <v>85642</v>
      </c>
      <c r="AC100" s="550">
        <v>86169</v>
      </c>
      <c r="AD100" s="556">
        <v>98.35</v>
      </c>
      <c r="AE100" s="550">
        <v>-481</v>
      </c>
      <c r="AF100" s="549">
        <v>795</v>
      </c>
      <c r="AG100" s="550">
        <v>85956</v>
      </c>
      <c r="AH100" s="549">
        <v>9487</v>
      </c>
      <c r="AI100" s="550">
        <v>92865387.200000003</v>
      </c>
      <c r="AJ100" s="549">
        <v>122763.06</v>
      </c>
      <c r="AK100" s="550">
        <v>101.1</v>
      </c>
      <c r="AL100" s="549">
        <v>1509.74</v>
      </c>
      <c r="AM100" s="473">
        <f t="shared" si="7"/>
        <v>185492.93691840002</v>
      </c>
      <c r="AN100" s="141"/>
      <c r="AO100" s="566"/>
      <c r="AP100" s="567"/>
    </row>
    <row r="101" spans="1:42">
      <c r="A101" s="471">
        <v>90</v>
      </c>
      <c r="B101" s="481" t="s">
        <v>221</v>
      </c>
      <c r="C101" s="472" t="s">
        <v>222</v>
      </c>
      <c r="D101" s="550">
        <v>14989</v>
      </c>
      <c r="E101" s="549">
        <v>14538</v>
      </c>
      <c r="F101" s="550">
        <v>14578</v>
      </c>
      <c r="G101" s="549">
        <f t="shared" si="4"/>
        <v>44105</v>
      </c>
      <c r="H101" s="550">
        <v>15691</v>
      </c>
      <c r="I101" s="549">
        <v>15908</v>
      </c>
      <c r="J101" s="550">
        <v>15465</v>
      </c>
      <c r="K101" s="550">
        <f t="shared" si="5"/>
        <v>47064</v>
      </c>
      <c r="L101" s="549">
        <v>0</v>
      </c>
      <c r="M101" s="550">
        <v>0</v>
      </c>
      <c r="N101" s="549">
        <v>0</v>
      </c>
      <c r="O101" s="518">
        <f t="shared" si="6"/>
        <v>0</v>
      </c>
      <c r="P101" s="549">
        <v>49602</v>
      </c>
      <c r="Q101" s="550">
        <v>578</v>
      </c>
      <c r="R101" s="549">
        <v>48254</v>
      </c>
      <c r="S101" s="550">
        <v>48832</v>
      </c>
      <c r="T101" s="556">
        <v>98.45</v>
      </c>
      <c r="U101" s="550">
        <v>467</v>
      </c>
      <c r="V101" s="549">
        <v>460</v>
      </c>
      <c r="W101" s="550">
        <v>49181</v>
      </c>
      <c r="X101" s="549">
        <v>6393</v>
      </c>
      <c r="Y101" s="550">
        <v>0</v>
      </c>
      <c r="Z101" s="549">
        <v>52997</v>
      </c>
      <c r="AA101" s="550">
        <v>317</v>
      </c>
      <c r="AB101" s="549">
        <v>51803</v>
      </c>
      <c r="AC101" s="550">
        <v>52120</v>
      </c>
      <c r="AD101" s="556">
        <v>98.35</v>
      </c>
      <c r="AE101" s="550">
        <v>-1098</v>
      </c>
      <c r="AF101" s="549">
        <v>388</v>
      </c>
      <c r="AG101" s="550">
        <v>51093</v>
      </c>
      <c r="AH101" s="549">
        <v>5191</v>
      </c>
      <c r="AI101" s="550">
        <v>57284794.010000005</v>
      </c>
      <c r="AJ101" s="549">
        <v>38752.199999999997</v>
      </c>
      <c r="AK101" s="550">
        <v>0</v>
      </c>
      <c r="AL101" s="549">
        <v>1485.87</v>
      </c>
      <c r="AM101" s="473">
        <f t="shared" si="7"/>
        <v>57580.731413999987</v>
      </c>
      <c r="AN101" s="141"/>
      <c r="AO101" s="566"/>
      <c r="AP101" s="567"/>
    </row>
    <row r="102" spans="1:42">
      <c r="A102" s="471">
        <v>91</v>
      </c>
      <c r="B102" s="481" t="s">
        <v>223</v>
      </c>
      <c r="C102" s="472" t="s">
        <v>224</v>
      </c>
      <c r="D102" s="550">
        <v>14627</v>
      </c>
      <c r="E102" s="549">
        <v>14635</v>
      </c>
      <c r="F102" s="550">
        <v>14512</v>
      </c>
      <c r="G102" s="549">
        <f t="shared" si="4"/>
        <v>43774</v>
      </c>
      <c r="H102" s="550">
        <v>10467</v>
      </c>
      <c r="I102" s="549">
        <v>8955</v>
      </c>
      <c r="J102" s="550">
        <v>9212</v>
      </c>
      <c r="K102" s="550">
        <f t="shared" si="5"/>
        <v>28634</v>
      </c>
      <c r="L102" s="549">
        <v>0</v>
      </c>
      <c r="M102" s="550">
        <v>0</v>
      </c>
      <c r="N102" s="549">
        <v>0</v>
      </c>
      <c r="O102" s="518">
        <f t="shared" si="6"/>
        <v>0</v>
      </c>
      <c r="P102" s="549">
        <v>50671</v>
      </c>
      <c r="Q102" s="550">
        <v>646</v>
      </c>
      <c r="R102" s="549">
        <v>48570</v>
      </c>
      <c r="S102" s="550">
        <v>49216</v>
      </c>
      <c r="T102" s="556">
        <v>97.13</v>
      </c>
      <c r="U102" s="550">
        <v>648</v>
      </c>
      <c r="V102" s="549">
        <v>463</v>
      </c>
      <c r="W102" s="550">
        <v>49681</v>
      </c>
      <c r="X102" s="549">
        <v>6777</v>
      </c>
      <c r="Y102" s="550">
        <v>0</v>
      </c>
      <c r="Z102" s="549">
        <v>32176</v>
      </c>
      <c r="AA102" s="550">
        <v>170</v>
      </c>
      <c r="AB102" s="549">
        <v>31604</v>
      </c>
      <c r="AC102" s="550">
        <v>31774</v>
      </c>
      <c r="AD102" s="556">
        <v>98.75</v>
      </c>
      <c r="AE102" s="550">
        <v>-357</v>
      </c>
      <c r="AF102" s="549">
        <v>271</v>
      </c>
      <c r="AG102" s="550">
        <v>31518</v>
      </c>
      <c r="AH102" s="549">
        <v>3672</v>
      </c>
      <c r="AI102" s="550">
        <v>33817905.949999996</v>
      </c>
      <c r="AJ102" s="549">
        <v>37149.699999999997</v>
      </c>
      <c r="AK102" s="550">
        <v>0</v>
      </c>
      <c r="AL102" s="549">
        <v>1602.77</v>
      </c>
      <c r="AM102" s="473">
        <f t="shared" si="7"/>
        <v>59542.424668999993</v>
      </c>
      <c r="AN102" s="141"/>
      <c r="AO102" s="566"/>
      <c r="AP102" s="567"/>
    </row>
    <row r="103" spans="1:42">
      <c r="A103" s="471">
        <v>92</v>
      </c>
      <c r="B103" s="481" t="s">
        <v>225</v>
      </c>
      <c r="C103" s="472" t="s">
        <v>226</v>
      </c>
      <c r="D103" s="550">
        <v>17934</v>
      </c>
      <c r="E103" s="549">
        <v>17652</v>
      </c>
      <c r="F103" s="550">
        <v>17866</v>
      </c>
      <c r="G103" s="549">
        <f t="shared" si="4"/>
        <v>53452</v>
      </c>
      <c r="H103" s="550">
        <v>17326</v>
      </c>
      <c r="I103" s="549">
        <v>15585</v>
      </c>
      <c r="J103" s="550">
        <v>15727</v>
      </c>
      <c r="K103" s="550">
        <f t="shared" si="5"/>
        <v>48638</v>
      </c>
      <c r="L103" s="549">
        <v>0</v>
      </c>
      <c r="M103" s="550">
        <v>0</v>
      </c>
      <c r="N103" s="549">
        <v>0</v>
      </c>
      <c r="O103" s="518">
        <f t="shared" si="6"/>
        <v>0</v>
      </c>
      <c r="P103" s="549">
        <v>59700</v>
      </c>
      <c r="Q103" s="550">
        <v>506</v>
      </c>
      <c r="R103" s="549">
        <v>58340</v>
      </c>
      <c r="S103" s="550">
        <v>58846</v>
      </c>
      <c r="T103" s="556">
        <v>98.57</v>
      </c>
      <c r="U103" s="550">
        <v>75</v>
      </c>
      <c r="V103" s="549">
        <v>697</v>
      </c>
      <c r="W103" s="550">
        <v>59112</v>
      </c>
      <c r="X103" s="549">
        <v>7177</v>
      </c>
      <c r="Y103" s="550">
        <v>0</v>
      </c>
      <c r="Z103" s="549">
        <v>54929</v>
      </c>
      <c r="AA103" s="550">
        <v>581</v>
      </c>
      <c r="AB103" s="549">
        <v>53750</v>
      </c>
      <c r="AC103" s="550">
        <v>54331</v>
      </c>
      <c r="AD103" s="556">
        <v>98.91</v>
      </c>
      <c r="AE103" s="550">
        <v>-1334</v>
      </c>
      <c r="AF103" s="549">
        <v>401</v>
      </c>
      <c r="AG103" s="550">
        <v>52817</v>
      </c>
      <c r="AH103" s="549">
        <v>5392</v>
      </c>
      <c r="AI103" s="550">
        <v>57015216.649999999</v>
      </c>
      <c r="AJ103" s="549">
        <v>45820.1</v>
      </c>
      <c r="AK103" s="550">
        <v>0</v>
      </c>
      <c r="AL103" s="549">
        <v>1438.93</v>
      </c>
      <c r="AM103" s="473">
        <f t="shared" si="7"/>
        <v>65931.916492999997</v>
      </c>
      <c r="AN103" s="141"/>
      <c r="AO103" s="566"/>
      <c r="AP103" s="567"/>
    </row>
    <row r="104" spans="1:42">
      <c r="A104" s="471">
        <v>93</v>
      </c>
      <c r="B104" s="481" t="s">
        <v>227</v>
      </c>
      <c r="C104" s="472" t="s">
        <v>228</v>
      </c>
      <c r="D104" s="550">
        <v>9205</v>
      </c>
      <c r="E104" s="549">
        <v>8808</v>
      </c>
      <c r="F104" s="550">
        <v>8393</v>
      </c>
      <c r="G104" s="549">
        <f t="shared" si="4"/>
        <v>26406</v>
      </c>
      <c r="H104" s="550">
        <v>6615</v>
      </c>
      <c r="I104" s="549">
        <v>6027</v>
      </c>
      <c r="J104" s="550">
        <v>5745</v>
      </c>
      <c r="K104" s="550">
        <f t="shared" si="5"/>
        <v>18387</v>
      </c>
      <c r="L104" s="549">
        <v>0</v>
      </c>
      <c r="M104" s="550">
        <v>0</v>
      </c>
      <c r="N104" s="549">
        <v>0</v>
      </c>
      <c r="O104" s="518">
        <f t="shared" si="6"/>
        <v>0</v>
      </c>
      <c r="P104" s="549">
        <v>29716</v>
      </c>
      <c r="Q104" s="550">
        <v>411</v>
      </c>
      <c r="R104" s="549">
        <v>28912</v>
      </c>
      <c r="S104" s="550">
        <v>29323</v>
      </c>
      <c r="T104" s="556">
        <v>98.68</v>
      </c>
      <c r="U104" s="550">
        <v>227</v>
      </c>
      <c r="V104" s="549">
        <v>438</v>
      </c>
      <c r="W104" s="550">
        <v>29577</v>
      </c>
      <c r="X104" s="549">
        <v>3565</v>
      </c>
      <c r="Y104" s="550">
        <v>0</v>
      </c>
      <c r="Z104" s="549">
        <v>19394</v>
      </c>
      <c r="AA104" s="550">
        <v>46</v>
      </c>
      <c r="AB104" s="549">
        <v>18977</v>
      </c>
      <c r="AC104" s="550">
        <v>19023</v>
      </c>
      <c r="AD104" s="556">
        <v>98.09</v>
      </c>
      <c r="AE104" s="550">
        <v>-285</v>
      </c>
      <c r="AF104" s="549">
        <v>56</v>
      </c>
      <c r="AG104" s="550">
        <v>18748</v>
      </c>
      <c r="AH104" s="549">
        <v>2113</v>
      </c>
      <c r="AI104" s="550">
        <v>20340058.870000001</v>
      </c>
      <c r="AJ104" s="549">
        <v>21192.9</v>
      </c>
      <c r="AK104" s="550">
        <v>5</v>
      </c>
      <c r="AL104" s="549">
        <v>1567.96</v>
      </c>
      <c r="AM104" s="473">
        <f t="shared" si="7"/>
        <v>33237.459284000004</v>
      </c>
      <c r="AN104" s="141"/>
      <c r="AO104" s="566"/>
      <c r="AP104" s="567"/>
    </row>
    <row r="105" spans="1:42">
      <c r="A105" s="471">
        <v>94</v>
      </c>
      <c r="B105" s="481" t="s">
        <v>229</v>
      </c>
      <c r="C105" s="472" t="s">
        <v>230</v>
      </c>
      <c r="D105" s="550">
        <v>28788</v>
      </c>
      <c r="E105" s="549">
        <v>27628</v>
      </c>
      <c r="F105" s="550">
        <v>27673</v>
      </c>
      <c r="G105" s="549">
        <f t="shared" si="4"/>
        <v>84089</v>
      </c>
      <c r="H105" s="550">
        <v>16910</v>
      </c>
      <c r="I105" s="549">
        <v>15673</v>
      </c>
      <c r="J105" s="550">
        <v>14624</v>
      </c>
      <c r="K105" s="550">
        <f t="shared" si="5"/>
        <v>47207</v>
      </c>
      <c r="L105" s="549">
        <v>0</v>
      </c>
      <c r="M105" s="550">
        <v>0</v>
      </c>
      <c r="N105" s="549">
        <v>0</v>
      </c>
      <c r="O105" s="518">
        <f t="shared" si="6"/>
        <v>0</v>
      </c>
      <c r="P105" s="549">
        <v>93359</v>
      </c>
      <c r="Q105" s="550">
        <v>1758</v>
      </c>
      <c r="R105" s="549">
        <v>90589</v>
      </c>
      <c r="S105" s="550">
        <v>92347</v>
      </c>
      <c r="T105" s="556">
        <v>98.92</v>
      </c>
      <c r="U105" s="550">
        <v>477</v>
      </c>
      <c r="V105" s="549">
        <v>1856</v>
      </c>
      <c r="W105" s="550">
        <v>92922</v>
      </c>
      <c r="X105" s="549">
        <v>12274</v>
      </c>
      <c r="Y105" s="550">
        <v>0</v>
      </c>
      <c r="Z105" s="549">
        <v>52887</v>
      </c>
      <c r="AA105" s="550">
        <v>530</v>
      </c>
      <c r="AB105" s="549">
        <v>51680</v>
      </c>
      <c r="AC105" s="550">
        <v>52210</v>
      </c>
      <c r="AD105" s="556">
        <v>98.72</v>
      </c>
      <c r="AE105" s="550">
        <v>-830</v>
      </c>
      <c r="AF105" s="549">
        <v>459</v>
      </c>
      <c r="AG105" s="550">
        <v>51309</v>
      </c>
      <c r="AH105" s="549">
        <v>5929</v>
      </c>
      <c r="AI105" s="550">
        <v>53398628.740000002</v>
      </c>
      <c r="AJ105" s="549">
        <v>66101</v>
      </c>
      <c r="AK105" s="550">
        <v>0</v>
      </c>
      <c r="AL105" s="549">
        <v>1583.91</v>
      </c>
      <c r="AM105" s="473">
        <f t="shared" si="7"/>
        <v>104698.03491000002</v>
      </c>
      <c r="AN105" s="141"/>
      <c r="AO105" s="566"/>
      <c r="AP105" s="567"/>
    </row>
    <row r="106" spans="1:42">
      <c r="A106" s="471">
        <v>95</v>
      </c>
      <c r="B106" s="481" t="s">
        <v>231</v>
      </c>
      <c r="C106" s="472" t="s">
        <v>232</v>
      </c>
      <c r="D106" s="550">
        <v>36922</v>
      </c>
      <c r="E106" s="549">
        <v>34866</v>
      </c>
      <c r="F106" s="550">
        <v>33998</v>
      </c>
      <c r="G106" s="549">
        <f t="shared" si="4"/>
        <v>105786</v>
      </c>
      <c r="H106" s="550">
        <v>31117</v>
      </c>
      <c r="I106" s="549">
        <v>30503</v>
      </c>
      <c r="J106" s="550">
        <v>31568</v>
      </c>
      <c r="K106" s="550">
        <f t="shared" si="5"/>
        <v>93188</v>
      </c>
      <c r="L106" s="549">
        <v>0</v>
      </c>
      <c r="M106" s="550">
        <v>0</v>
      </c>
      <c r="N106" s="549">
        <v>0</v>
      </c>
      <c r="O106" s="518">
        <f t="shared" si="6"/>
        <v>0</v>
      </c>
      <c r="P106" s="549">
        <v>121983</v>
      </c>
      <c r="Q106" s="550">
        <v>3035</v>
      </c>
      <c r="R106" s="549">
        <v>113903</v>
      </c>
      <c r="S106" s="550">
        <v>116938</v>
      </c>
      <c r="T106" s="556">
        <v>95.86</v>
      </c>
      <c r="U106" s="550">
        <v>5983</v>
      </c>
      <c r="V106" s="549">
        <v>2428</v>
      </c>
      <c r="W106" s="550">
        <v>122314</v>
      </c>
      <c r="X106" s="549">
        <v>20980</v>
      </c>
      <c r="Y106" s="550">
        <v>0</v>
      </c>
      <c r="Z106" s="549">
        <v>107844</v>
      </c>
      <c r="AA106" s="550">
        <v>918</v>
      </c>
      <c r="AB106" s="549">
        <v>105697</v>
      </c>
      <c r="AC106" s="550">
        <v>106615</v>
      </c>
      <c r="AD106" s="556">
        <v>98.86</v>
      </c>
      <c r="AE106" s="550">
        <v>-1451</v>
      </c>
      <c r="AF106" s="549">
        <v>745</v>
      </c>
      <c r="AG106" s="550">
        <v>104991</v>
      </c>
      <c r="AH106" s="549">
        <v>18255</v>
      </c>
      <c r="AI106" s="550">
        <v>108684819.84</v>
      </c>
      <c r="AJ106" s="549">
        <v>113835.6</v>
      </c>
      <c r="AK106" s="550">
        <v>0</v>
      </c>
      <c r="AL106" s="549">
        <v>1403.34</v>
      </c>
      <c r="AM106" s="473">
        <f t="shared" si="7"/>
        <v>159750.05090399997</v>
      </c>
      <c r="AN106" s="141"/>
      <c r="AO106" s="566"/>
      <c r="AP106" s="567"/>
    </row>
    <row r="107" spans="1:42">
      <c r="A107" s="471">
        <v>96</v>
      </c>
      <c r="B107" s="481" t="s">
        <v>233</v>
      </c>
      <c r="C107" s="472" t="s">
        <v>234</v>
      </c>
      <c r="D107" s="550">
        <v>20557</v>
      </c>
      <c r="E107" s="549">
        <v>19713</v>
      </c>
      <c r="F107" s="550">
        <v>19625</v>
      </c>
      <c r="G107" s="549">
        <f t="shared" si="4"/>
        <v>59895</v>
      </c>
      <c r="H107" s="550">
        <v>10603</v>
      </c>
      <c r="I107" s="549">
        <v>9310</v>
      </c>
      <c r="J107" s="550">
        <v>9310</v>
      </c>
      <c r="K107" s="550">
        <f t="shared" si="5"/>
        <v>29223</v>
      </c>
      <c r="L107" s="549">
        <v>0</v>
      </c>
      <c r="M107" s="550">
        <v>0</v>
      </c>
      <c r="N107" s="549">
        <v>0</v>
      </c>
      <c r="O107" s="518">
        <f t="shared" si="6"/>
        <v>0</v>
      </c>
      <c r="P107" s="549">
        <v>74189</v>
      </c>
      <c r="Q107" s="550">
        <v>658</v>
      </c>
      <c r="R107" s="549">
        <v>71912</v>
      </c>
      <c r="S107" s="550">
        <v>72570</v>
      </c>
      <c r="T107" s="556">
        <v>97.82</v>
      </c>
      <c r="U107" s="550">
        <v>852</v>
      </c>
      <c r="V107" s="549">
        <v>949</v>
      </c>
      <c r="W107" s="550">
        <v>73713</v>
      </c>
      <c r="X107" s="549">
        <v>15690</v>
      </c>
      <c r="Y107" s="550">
        <v>0</v>
      </c>
      <c r="Z107" s="549">
        <v>33741</v>
      </c>
      <c r="AA107" s="550">
        <v>74</v>
      </c>
      <c r="AB107" s="549">
        <v>32604</v>
      </c>
      <c r="AC107" s="550">
        <v>32678</v>
      </c>
      <c r="AD107" s="556">
        <v>96.85</v>
      </c>
      <c r="AE107" s="550">
        <v>-649</v>
      </c>
      <c r="AF107" s="549">
        <v>215</v>
      </c>
      <c r="AG107" s="550">
        <v>32170</v>
      </c>
      <c r="AH107" s="549">
        <v>4947</v>
      </c>
      <c r="AI107" s="550">
        <v>35098676.519999996</v>
      </c>
      <c r="AJ107" s="549">
        <v>56415.9</v>
      </c>
      <c r="AK107" s="550">
        <v>0</v>
      </c>
      <c r="AL107" s="549">
        <v>1503.01</v>
      </c>
      <c r="AM107" s="473">
        <f t="shared" si="7"/>
        <v>84793.661859</v>
      </c>
      <c r="AN107" s="141"/>
      <c r="AO107" s="566"/>
      <c r="AP107" s="567"/>
    </row>
    <row r="108" spans="1:42">
      <c r="A108" s="471">
        <v>97</v>
      </c>
      <c r="B108" s="481" t="s">
        <v>235</v>
      </c>
      <c r="C108" s="472" t="s">
        <v>236</v>
      </c>
      <c r="D108" s="550">
        <v>14820</v>
      </c>
      <c r="E108" s="549">
        <v>13865</v>
      </c>
      <c r="F108" s="550">
        <v>14087</v>
      </c>
      <c r="G108" s="549">
        <f t="shared" si="4"/>
        <v>42772</v>
      </c>
      <c r="H108" s="550">
        <v>7101</v>
      </c>
      <c r="I108" s="549">
        <v>6502</v>
      </c>
      <c r="J108" s="550">
        <v>6364</v>
      </c>
      <c r="K108" s="550">
        <f t="shared" si="5"/>
        <v>19967</v>
      </c>
      <c r="L108" s="549">
        <v>0</v>
      </c>
      <c r="M108" s="550">
        <v>0</v>
      </c>
      <c r="N108" s="549">
        <v>0</v>
      </c>
      <c r="O108" s="518">
        <f t="shared" si="6"/>
        <v>0</v>
      </c>
      <c r="P108" s="549">
        <v>46145</v>
      </c>
      <c r="Q108" s="550">
        <v>674</v>
      </c>
      <c r="R108" s="549">
        <v>44912</v>
      </c>
      <c r="S108" s="550">
        <v>45586</v>
      </c>
      <c r="T108" s="556">
        <v>98.79</v>
      </c>
      <c r="U108" s="550">
        <v>304</v>
      </c>
      <c r="V108" s="549">
        <v>636</v>
      </c>
      <c r="W108" s="550">
        <v>45852</v>
      </c>
      <c r="X108" s="549">
        <v>5133</v>
      </c>
      <c r="Y108" s="550">
        <v>0</v>
      </c>
      <c r="Z108" s="549">
        <v>23193</v>
      </c>
      <c r="AA108" s="550">
        <v>787</v>
      </c>
      <c r="AB108" s="549">
        <v>21931</v>
      </c>
      <c r="AC108" s="550">
        <v>22718</v>
      </c>
      <c r="AD108" s="556">
        <v>97.95</v>
      </c>
      <c r="AE108" s="550">
        <v>332</v>
      </c>
      <c r="AF108" s="549">
        <v>296</v>
      </c>
      <c r="AG108" s="550">
        <v>22559</v>
      </c>
      <c r="AH108" s="549">
        <v>3937</v>
      </c>
      <c r="AI108" s="550">
        <v>23982607.32</v>
      </c>
      <c r="AJ108" s="549">
        <v>33234.9</v>
      </c>
      <c r="AK108" s="550">
        <v>0</v>
      </c>
      <c r="AL108" s="549">
        <v>1550.53</v>
      </c>
      <c r="AM108" s="473">
        <f t="shared" si="7"/>
        <v>51531.709497000003</v>
      </c>
      <c r="AN108" s="141"/>
      <c r="AO108" s="566"/>
      <c r="AP108" s="567"/>
    </row>
    <row r="109" spans="1:42">
      <c r="A109" s="471">
        <v>98</v>
      </c>
      <c r="B109" s="481" t="s">
        <v>237</v>
      </c>
      <c r="C109" s="472" t="s">
        <v>238</v>
      </c>
      <c r="D109" s="550">
        <v>15362</v>
      </c>
      <c r="E109" s="549">
        <v>13468</v>
      </c>
      <c r="F109" s="550">
        <v>13292</v>
      </c>
      <c r="G109" s="549">
        <f t="shared" si="4"/>
        <v>42122</v>
      </c>
      <c r="H109" s="550">
        <v>8024</v>
      </c>
      <c r="I109" s="549">
        <v>8204</v>
      </c>
      <c r="J109" s="550">
        <v>6399</v>
      </c>
      <c r="K109" s="550">
        <f t="shared" si="5"/>
        <v>22627</v>
      </c>
      <c r="L109" s="549">
        <v>0</v>
      </c>
      <c r="M109" s="550">
        <v>0</v>
      </c>
      <c r="N109" s="549">
        <v>0</v>
      </c>
      <c r="O109" s="518">
        <f t="shared" si="6"/>
        <v>0</v>
      </c>
      <c r="P109" s="549">
        <v>45065</v>
      </c>
      <c r="Q109" s="550">
        <v>546</v>
      </c>
      <c r="R109" s="549">
        <v>43541</v>
      </c>
      <c r="S109" s="550">
        <v>44087</v>
      </c>
      <c r="T109" s="556">
        <v>97.83</v>
      </c>
      <c r="U109" s="550">
        <v>845</v>
      </c>
      <c r="V109" s="549">
        <v>473</v>
      </c>
      <c r="W109" s="550">
        <v>44859</v>
      </c>
      <c r="X109" s="549">
        <v>3715</v>
      </c>
      <c r="Y109" s="550">
        <v>0</v>
      </c>
      <c r="Z109" s="549">
        <v>24296</v>
      </c>
      <c r="AA109" s="550">
        <v>490</v>
      </c>
      <c r="AB109" s="549">
        <v>23272</v>
      </c>
      <c r="AC109" s="550">
        <v>23762</v>
      </c>
      <c r="AD109" s="556">
        <v>97.8</v>
      </c>
      <c r="AE109" s="550">
        <v>-203</v>
      </c>
      <c r="AF109" s="549">
        <v>305</v>
      </c>
      <c r="AG109" s="550">
        <v>23374</v>
      </c>
      <c r="AH109" s="549">
        <v>1083</v>
      </c>
      <c r="AI109" s="550">
        <v>25181994.859999999</v>
      </c>
      <c r="AJ109" s="549">
        <v>37151</v>
      </c>
      <c r="AK109" s="550">
        <v>0</v>
      </c>
      <c r="AL109" s="549">
        <v>1484.6</v>
      </c>
      <c r="AM109" s="473">
        <f t="shared" si="7"/>
        <v>55154.374599999996</v>
      </c>
      <c r="AN109" s="141"/>
      <c r="AO109" s="566"/>
      <c r="AP109" s="567"/>
    </row>
    <row r="110" spans="1:42">
      <c r="A110" s="471">
        <v>99</v>
      </c>
      <c r="B110" s="481" t="s">
        <v>239</v>
      </c>
      <c r="C110" s="472" t="s">
        <v>240</v>
      </c>
      <c r="D110" s="550">
        <v>14552</v>
      </c>
      <c r="E110" s="549">
        <v>13977</v>
      </c>
      <c r="F110" s="550">
        <v>14160</v>
      </c>
      <c r="G110" s="549">
        <f t="shared" si="4"/>
        <v>42689</v>
      </c>
      <c r="H110" s="550">
        <v>24196</v>
      </c>
      <c r="I110" s="549">
        <v>21195</v>
      </c>
      <c r="J110" s="550">
        <v>20974</v>
      </c>
      <c r="K110" s="550">
        <f t="shared" si="5"/>
        <v>66365</v>
      </c>
      <c r="L110" s="549">
        <v>0</v>
      </c>
      <c r="M110" s="550">
        <v>0</v>
      </c>
      <c r="N110" s="549">
        <v>0</v>
      </c>
      <c r="O110" s="518">
        <f t="shared" si="6"/>
        <v>0</v>
      </c>
      <c r="P110" s="549">
        <v>48899</v>
      </c>
      <c r="Q110" s="550">
        <v>951</v>
      </c>
      <c r="R110" s="549">
        <v>46638</v>
      </c>
      <c r="S110" s="550">
        <v>47589</v>
      </c>
      <c r="T110" s="556">
        <v>97.32</v>
      </c>
      <c r="U110" s="550">
        <v>855</v>
      </c>
      <c r="V110" s="549">
        <v>880</v>
      </c>
      <c r="W110" s="550">
        <v>48373</v>
      </c>
      <c r="X110" s="549">
        <v>7232</v>
      </c>
      <c r="Y110" s="550">
        <v>0</v>
      </c>
      <c r="Z110" s="549">
        <v>74878</v>
      </c>
      <c r="AA110" s="550">
        <v>1923</v>
      </c>
      <c r="AB110" s="549">
        <v>71569</v>
      </c>
      <c r="AC110" s="550">
        <v>73492</v>
      </c>
      <c r="AD110" s="556">
        <v>98.15</v>
      </c>
      <c r="AE110" s="550">
        <v>-1802</v>
      </c>
      <c r="AF110" s="549">
        <v>1116</v>
      </c>
      <c r="AG110" s="550">
        <v>70883</v>
      </c>
      <c r="AH110" s="549">
        <v>7539</v>
      </c>
      <c r="AI110" s="550">
        <v>78443486.819999993</v>
      </c>
      <c r="AJ110" s="549">
        <v>39566</v>
      </c>
      <c r="AK110" s="550">
        <v>25.9</v>
      </c>
      <c r="AL110" s="549">
        <v>1484.51</v>
      </c>
      <c r="AM110" s="473">
        <f t="shared" si="7"/>
        <v>58774.571469000002</v>
      </c>
      <c r="AN110" s="141"/>
      <c r="AO110" s="566"/>
      <c r="AP110" s="567"/>
    </row>
    <row r="111" spans="1:42">
      <c r="A111" s="471">
        <v>100</v>
      </c>
      <c r="B111" s="481" t="s">
        <v>241</v>
      </c>
      <c r="C111" s="472" t="s">
        <v>242</v>
      </c>
      <c r="D111" s="550">
        <v>17077</v>
      </c>
      <c r="E111" s="549">
        <v>16703</v>
      </c>
      <c r="F111" s="550">
        <v>19865</v>
      </c>
      <c r="G111" s="549">
        <f t="shared" si="4"/>
        <v>53645</v>
      </c>
      <c r="H111" s="550">
        <v>13691</v>
      </c>
      <c r="I111" s="549">
        <v>11492</v>
      </c>
      <c r="J111" s="550">
        <v>12768</v>
      </c>
      <c r="K111" s="550">
        <f t="shared" si="5"/>
        <v>37951</v>
      </c>
      <c r="L111" s="549">
        <v>0</v>
      </c>
      <c r="M111" s="550">
        <v>0</v>
      </c>
      <c r="N111" s="549">
        <v>0</v>
      </c>
      <c r="O111" s="518">
        <f t="shared" si="6"/>
        <v>0</v>
      </c>
      <c r="P111" s="549">
        <v>56176</v>
      </c>
      <c r="Q111" s="550">
        <v>371</v>
      </c>
      <c r="R111" s="549">
        <v>54886</v>
      </c>
      <c r="S111" s="550">
        <v>55257</v>
      </c>
      <c r="T111" s="556">
        <v>98.36</v>
      </c>
      <c r="U111" s="550">
        <v>409</v>
      </c>
      <c r="V111" s="549">
        <v>431</v>
      </c>
      <c r="W111" s="550">
        <v>55726</v>
      </c>
      <c r="X111" s="549">
        <v>6495</v>
      </c>
      <c r="Y111" s="550">
        <v>0</v>
      </c>
      <c r="Z111" s="549">
        <v>41333</v>
      </c>
      <c r="AA111" s="550">
        <v>577</v>
      </c>
      <c r="AB111" s="549">
        <v>39979</v>
      </c>
      <c r="AC111" s="550">
        <v>40556</v>
      </c>
      <c r="AD111" s="556">
        <v>98.12</v>
      </c>
      <c r="AE111" s="550">
        <v>-3417</v>
      </c>
      <c r="AF111" s="549">
        <v>175</v>
      </c>
      <c r="AG111" s="550">
        <v>36737</v>
      </c>
      <c r="AH111" s="549">
        <v>4103</v>
      </c>
      <c r="AI111" s="550">
        <v>41307896.979999997</v>
      </c>
      <c r="AJ111" s="549">
        <v>44013.3</v>
      </c>
      <c r="AK111" s="550">
        <v>366.8</v>
      </c>
      <c r="AL111" s="549">
        <v>1390.73</v>
      </c>
      <c r="AM111" s="473">
        <f t="shared" si="7"/>
        <v>61720.736473000012</v>
      </c>
      <c r="AN111" s="141"/>
      <c r="AO111" s="566"/>
      <c r="AP111" s="567"/>
    </row>
    <row r="112" spans="1:42">
      <c r="A112" s="471">
        <v>101</v>
      </c>
      <c r="B112" s="481" t="s">
        <v>243</v>
      </c>
      <c r="C112" s="472" t="s">
        <v>244</v>
      </c>
      <c r="D112" s="550">
        <v>12708</v>
      </c>
      <c r="E112" s="549">
        <v>12550</v>
      </c>
      <c r="F112" s="550">
        <v>12388</v>
      </c>
      <c r="G112" s="549">
        <f t="shared" si="4"/>
        <v>37646</v>
      </c>
      <c r="H112" s="550">
        <v>7725</v>
      </c>
      <c r="I112" s="549">
        <v>7057</v>
      </c>
      <c r="J112" s="550">
        <v>6955</v>
      </c>
      <c r="K112" s="550">
        <f t="shared" si="5"/>
        <v>21737</v>
      </c>
      <c r="L112" s="549">
        <v>0</v>
      </c>
      <c r="M112" s="550">
        <v>0</v>
      </c>
      <c r="N112" s="549">
        <v>0</v>
      </c>
      <c r="O112" s="518">
        <f t="shared" si="6"/>
        <v>0</v>
      </c>
      <c r="P112" s="549">
        <v>41004</v>
      </c>
      <c r="Q112" s="550">
        <v>726</v>
      </c>
      <c r="R112" s="549">
        <v>39452</v>
      </c>
      <c r="S112" s="550">
        <v>40178</v>
      </c>
      <c r="T112" s="556">
        <v>97.99</v>
      </c>
      <c r="U112" s="550">
        <v>461</v>
      </c>
      <c r="V112" s="549">
        <v>825</v>
      </c>
      <c r="W112" s="550">
        <v>40738</v>
      </c>
      <c r="X112" s="549">
        <v>5173</v>
      </c>
      <c r="Y112" s="550">
        <v>0</v>
      </c>
      <c r="Z112" s="549">
        <v>23720</v>
      </c>
      <c r="AA112" s="550">
        <v>79</v>
      </c>
      <c r="AB112" s="549">
        <v>23051</v>
      </c>
      <c r="AC112" s="550">
        <v>23130</v>
      </c>
      <c r="AD112" s="556">
        <v>97.51</v>
      </c>
      <c r="AE112" s="550">
        <v>-409</v>
      </c>
      <c r="AF112" s="549">
        <v>28</v>
      </c>
      <c r="AG112" s="550">
        <v>22670</v>
      </c>
      <c r="AH112" s="549">
        <v>2876</v>
      </c>
      <c r="AI112" s="550">
        <v>24408261.530000001</v>
      </c>
      <c r="AJ112" s="549">
        <v>31565.7</v>
      </c>
      <c r="AK112" s="550">
        <v>0</v>
      </c>
      <c r="AL112" s="549">
        <v>1617.09</v>
      </c>
      <c r="AM112" s="473">
        <f t="shared" si="7"/>
        <v>51044.577813000004</v>
      </c>
      <c r="AN112" s="141"/>
      <c r="AO112" s="566"/>
      <c r="AP112" s="567"/>
    </row>
    <row r="113" spans="1:42">
      <c r="A113" s="471">
        <v>102</v>
      </c>
      <c r="B113" s="481" t="s">
        <v>245</v>
      </c>
      <c r="C113" s="472" t="s">
        <v>246</v>
      </c>
      <c r="D113" s="550">
        <v>6864</v>
      </c>
      <c r="E113" s="549">
        <v>6840</v>
      </c>
      <c r="F113" s="550">
        <v>6782</v>
      </c>
      <c r="G113" s="549">
        <f t="shared" si="4"/>
        <v>20486</v>
      </c>
      <c r="H113" s="550">
        <v>6482</v>
      </c>
      <c r="I113" s="549">
        <v>6847</v>
      </c>
      <c r="J113" s="550">
        <v>5869</v>
      </c>
      <c r="K113" s="550">
        <f t="shared" si="5"/>
        <v>19198</v>
      </c>
      <c r="L113" s="549">
        <v>0</v>
      </c>
      <c r="M113" s="550">
        <v>0</v>
      </c>
      <c r="N113" s="549">
        <v>0</v>
      </c>
      <c r="O113" s="518">
        <f t="shared" si="6"/>
        <v>0</v>
      </c>
      <c r="P113" s="549">
        <v>23666</v>
      </c>
      <c r="Q113" s="550">
        <v>355</v>
      </c>
      <c r="R113" s="549">
        <v>22598</v>
      </c>
      <c r="S113" s="550">
        <v>22953</v>
      </c>
      <c r="T113" s="556">
        <v>96.99</v>
      </c>
      <c r="U113" s="550">
        <v>311</v>
      </c>
      <c r="V113" s="549">
        <v>404</v>
      </c>
      <c r="W113" s="550">
        <v>23313</v>
      </c>
      <c r="X113" s="549">
        <v>3325</v>
      </c>
      <c r="Y113" s="550">
        <v>0</v>
      </c>
      <c r="Z113" s="549">
        <v>21522</v>
      </c>
      <c r="AA113" s="550">
        <v>85</v>
      </c>
      <c r="AB113" s="549">
        <v>21139</v>
      </c>
      <c r="AC113" s="550">
        <v>21224</v>
      </c>
      <c r="AD113" s="556">
        <v>98.62</v>
      </c>
      <c r="AE113" s="550">
        <v>-439</v>
      </c>
      <c r="AF113" s="549">
        <v>97</v>
      </c>
      <c r="AG113" s="550">
        <v>20797</v>
      </c>
      <c r="AH113" s="549">
        <v>2165</v>
      </c>
      <c r="AI113" s="550">
        <v>22540220.760000002</v>
      </c>
      <c r="AJ113" s="549">
        <v>18298.900000000001</v>
      </c>
      <c r="AK113" s="550">
        <v>0</v>
      </c>
      <c r="AL113" s="549">
        <v>1509.53</v>
      </c>
      <c r="AM113" s="473">
        <f t="shared" si="7"/>
        <v>27622.738517000002</v>
      </c>
      <c r="AN113" s="141"/>
      <c r="AO113" s="566"/>
      <c r="AP113" s="567"/>
    </row>
    <row r="114" spans="1:42">
      <c r="A114" s="471">
        <v>103</v>
      </c>
      <c r="B114" s="481" t="s">
        <v>247</v>
      </c>
      <c r="C114" s="472" t="s">
        <v>248</v>
      </c>
      <c r="D114" s="550">
        <v>11405</v>
      </c>
      <c r="E114" s="549">
        <v>10983</v>
      </c>
      <c r="F114" s="550">
        <v>11284</v>
      </c>
      <c r="G114" s="549">
        <f t="shared" si="4"/>
        <v>33672</v>
      </c>
      <c r="H114" s="550">
        <v>3715</v>
      </c>
      <c r="I114" s="549">
        <v>3359</v>
      </c>
      <c r="J114" s="550">
        <v>3133</v>
      </c>
      <c r="K114" s="550">
        <f t="shared" si="5"/>
        <v>10207</v>
      </c>
      <c r="L114" s="549">
        <v>0</v>
      </c>
      <c r="M114" s="550">
        <v>0</v>
      </c>
      <c r="N114" s="549">
        <v>0</v>
      </c>
      <c r="O114" s="518">
        <f t="shared" si="6"/>
        <v>0</v>
      </c>
      <c r="P114" s="549">
        <v>39515</v>
      </c>
      <c r="Q114" s="550">
        <v>349</v>
      </c>
      <c r="R114" s="549">
        <v>38475</v>
      </c>
      <c r="S114" s="550">
        <v>38824</v>
      </c>
      <c r="T114" s="556">
        <v>98.25</v>
      </c>
      <c r="U114" s="550">
        <v>1247</v>
      </c>
      <c r="V114" s="549">
        <v>396</v>
      </c>
      <c r="W114" s="550">
        <v>40118</v>
      </c>
      <c r="X114" s="549">
        <v>6975</v>
      </c>
      <c r="Y114" s="550">
        <v>0</v>
      </c>
      <c r="Z114" s="549">
        <v>11452</v>
      </c>
      <c r="AA114" s="550">
        <v>115</v>
      </c>
      <c r="AB114" s="549">
        <v>10815</v>
      </c>
      <c r="AC114" s="550">
        <v>10930</v>
      </c>
      <c r="AD114" s="556">
        <v>95.44</v>
      </c>
      <c r="AE114" s="550">
        <v>265</v>
      </c>
      <c r="AF114" s="549">
        <v>90</v>
      </c>
      <c r="AG114" s="550">
        <v>11170</v>
      </c>
      <c r="AH114" s="549">
        <v>1496</v>
      </c>
      <c r="AI114" s="550">
        <v>12098142.68</v>
      </c>
      <c r="AJ114" s="549">
        <v>30255</v>
      </c>
      <c r="AK114" s="550">
        <v>167.9</v>
      </c>
      <c r="AL114" s="549">
        <v>1516.46</v>
      </c>
      <c r="AM114" s="473">
        <f t="shared" si="7"/>
        <v>46135.110934000004</v>
      </c>
      <c r="AN114" s="141"/>
      <c r="AO114" s="566"/>
      <c r="AP114" s="567"/>
    </row>
    <row r="115" spans="1:42">
      <c r="A115" s="471">
        <v>104</v>
      </c>
      <c r="B115" s="481" t="s">
        <v>249</v>
      </c>
      <c r="C115" s="472" t="s">
        <v>250</v>
      </c>
      <c r="D115" s="550">
        <v>12397</v>
      </c>
      <c r="E115" s="549">
        <v>11978</v>
      </c>
      <c r="F115" s="550">
        <v>11744</v>
      </c>
      <c r="G115" s="549">
        <f t="shared" si="4"/>
        <v>36119</v>
      </c>
      <c r="H115" s="550">
        <v>7404</v>
      </c>
      <c r="I115" s="549">
        <v>7081</v>
      </c>
      <c r="J115" s="550">
        <v>7001</v>
      </c>
      <c r="K115" s="550">
        <f t="shared" si="5"/>
        <v>21486</v>
      </c>
      <c r="L115" s="549">
        <v>0</v>
      </c>
      <c r="M115" s="550">
        <v>0</v>
      </c>
      <c r="N115" s="549">
        <v>0</v>
      </c>
      <c r="O115" s="518">
        <f t="shared" si="6"/>
        <v>0</v>
      </c>
      <c r="P115" s="549">
        <v>41582</v>
      </c>
      <c r="Q115" s="550">
        <v>466</v>
      </c>
      <c r="R115" s="549">
        <v>40272</v>
      </c>
      <c r="S115" s="550">
        <v>40738</v>
      </c>
      <c r="T115" s="556">
        <v>97.97</v>
      </c>
      <c r="U115" s="550">
        <v>480</v>
      </c>
      <c r="V115" s="549">
        <v>530</v>
      </c>
      <c r="W115" s="550">
        <v>41282</v>
      </c>
      <c r="X115" s="549">
        <v>5537</v>
      </c>
      <c r="Y115" s="550">
        <v>0</v>
      </c>
      <c r="Z115" s="549">
        <v>23982</v>
      </c>
      <c r="AA115" s="550">
        <v>141</v>
      </c>
      <c r="AB115" s="549">
        <v>23368</v>
      </c>
      <c r="AC115" s="550">
        <v>23509</v>
      </c>
      <c r="AD115" s="556">
        <v>98.03</v>
      </c>
      <c r="AE115" s="550">
        <v>-114</v>
      </c>
      <c r="AF115" s="549">
        <v>255</v>
      </c>
      <c r="AG115" s="550">
        <v>23509</v>
      </c>
      <c r="AH115" s="549">
        <v>2696</v>
      </c>
      <c r="AI115" s="550">
        <v>25602984.719999999</v>
      </c>
      <c r="AJ115" s="549">
        <v>30754</v>
      </c>
      <c r="AK115" s="550">
        <v>187.9</v>
      </c>
      <c r="AL115" s="549">
        <v>1516.25</v>
      </c>
      <c r="AM115" s="473">
        <f t="shared" si="7"/>
        <v>46915.655874999997</v>
      </c>
      <c r="AN115" s="141"/>
      <c r="AO115" s="566"/>
      <c r="AP115" s="567"/>
    </row>
    <row r="116" spans="1:42">
      <c r="A116" s="471">
        <v>105</v>
      </c>
      <c r="B116" s="481" t="s">
        <v>251</v>
      </c>
      <c r="C116" s="472" t="s">
        <v>252</v>
      </c>
      <c r="D116" s="550">
        <v>21797</v>
      </c>
      <c r="E116" s="549">
        <v>21416</v>
      </c>
      <c r="F116" s="550">
        <v>21289</v>
      </c>
      <c r="G116" s="549">
        <f t="shared" si="4"/>
        <v>64502</v>
      </c>
      <c r="H116" s="550">
        <v>25219</v>
      </c>
      <c r="I116" s="549">
        <v>26499</v>
      </c>
      <c r="J116" s="550">
        <v>23405</v>
      </c>
      <c r="K116" s="550">
        <f t="shared" si="5"/>
        <v>75123</v>
      </c>
      <c r="L116" s="549">
        <v>0</v>
      </c>
      <c r="M116" s="550">
        <v>0</v>
      </c>
      <c r="N116" s="549">
        <v>0</v>
      </c>
      <c r="O116" s="518">
        <f t="shared" si="6"/>
        <v>0</v>
      </c>
      <c r="P116" s="549">
        <v>74627</v>
      </c>
      <c r="Q116" s="550">
        <v>759</v>
      </c>
      <c r="R116" s="549">
        <v>71305</v>
      </c>
      <c r="S116" s="550">
        <v>72064</v>
      </c>
      <c r="T116" s="556">
        <v>96.57</v>
      </c>
      <c r="U116" s="550">
        <v>1657</v>
      </c>
      <c r="V116" s="549">
        <v>947</v>
      </c>
      <c r="W116" s="550">
        <v>73909</v>
      </c>
      <c r="X116" s="549">
        <v>12553</v>
      </c>
      <c r="Y116" s="550">
        <v>0</v>
      </c>
      <c r="Z116" s="549">
        <v>85588</v>
      </c>
      <c r="AA116" s="550">
        <v>492</v>
      </c>
      <c r="AB116" s="549">
        <v>81912</v>
      </c>
      <c r="AC116" s="550">
        <v>82404</v>
      </c>
      <c r="AD116" s="556">
        <v>96.28</v>
      </c>
      <c r="AE116" s="550">
        <v>-1295</v>
      </c>
      <c r="AF116" s="549">
        <v>866</v>
      </c>
      <c r="AG116" s="550">
        <v>81483</v>
      </c>
      <c r="AH116" s="549">
        <v>10632</v>
      </c>
      <c r="AI116" s="550">
        <v>88185811.320000008</v>
      </c>
      <c r="AJ116" s="549">
        <v>60755</v>
      </c>
      <c r="AK116" s="550">
        <v>0</v>
      </c>
      <c r="AL116" s="549">
        <v>1603.13</v>
      </c>
      <c r="AM116" s="473">
        <f t="shared" si="7"/>
        <v>97398.163150000008</v>
      </c>
      <c r="AN116" s="141"/>
      <c r="AO116" s="566"/>
      <c r="AP116" s="567"/>
    </row>
    <row r="117" spans="1:42">
      <c r="A117" s="471">
        <v>106</v>
      </c>
      <c r="B117" s="481" t="s">
        <v>253</v>
      </c>
      <c r="C117" s="472" t="s">
        <v>254</v>
      </c>
      <c r="D117" s="550">
        <v>16018</v>
      </c>
      <c r="E117" s="549">
        <v>15904</v>
      </c>
      <c r="F117" s="550">
        <v>15890</v>
      </c>
      <c r="G117" s="549">
        <f t="shared" si="4"/>
        <v>47812</v>
      </c>
      <c r="H117" s="550">
        <v>6734</v>
      </c>
      <c r="I117" s="549">
        <v>5706</v>
      </c>
      <c r="J117" s="550">
        <v>5861</v>
      </c>
      <c r="K117" s="550">
        <f t="shared" si="5"/>
        <v>18301</v>
      </c>
      <c r="L117" s="549">
        <v>0</v>
      </c>
      <c r="M117" s="550">
        <v>0</v>
      </c>
      <c r="N117" s="549">
        <v>0</v>
      </c>
      <c r="O117" s="518">
        <f t="shared" si="6"/>
        <v>0</v>
      </c>
      <c r="P117" s="549">
        <v>53910</v>
      </c>
      <c r="Q117" s="550">
        <v>594</v>
      </c>
      <c r="R117" s="549">
        <v>52507</v>
      </c>
      <c r="S117" s="550">
        <v>53101</v>
      </c>
      <c r="T117" s="556">
        <v>98.5</v>
      </c>
      <c r="U117" s="550">
        <v>448</v>
      </c>
      <c r="V117" s="549">
        <v>531</v>
      </c>
      <c r="W117" s="550">
        <v>53486</v>
      </c>
      <c r="X117" s="549">
        <v>7052</v>
      </c>
      <c r="Y117" s="550">
        <v>0</v>
      </c>
      <c r="Z117" s="549">
        <v>21074</v>
      </c>
      <c r="AA117" s="550">
        <v>236</v>
      </c>
      <c r="AB117" s="549">
        <v>20656</v>
      </c>
      <c r="AC117" s="550">
        <v>20892</v>
      </c>
      <c r="AD117" s="556">
        <v>99.14</v>
      </c>
      <c r="AE117" s="550">
        <v>-288</v>
      </c>
      <c r="AF117" s="549">
        <v>49</v>
      </c>
      <c r="AG117" s="550">
        <v>20417</v>
      </c>
      <c r="AH117" s="549">
        <v>2288</v>
      </c>
      <c r="AI117" s="550">
        <v>21619092.719999999</v>
      </c>
      <c r="AJ117" s="549">
        <v>39340.5</v>
      </c>
      <c r="AK117" s="550">
        <v>0</v>
      </c>
      <c r="AL117" s="549">
        <v>1599.3</v>
      </c>
      <c r="AM117" s="473">
        <f t="shared" si="7"/>
        <v>62917.26165</v>
      </c>
      <c r="AN117" s="141"/>
      <c r="AO117" s="566"/>
      <c r="AP117" s="567"/>
    </row>
    <row r="118" spans="1:42">
      <c r="A118" s="471">
        <v>107</v>
      </c>
      <c r="B118" s="481" t="s">
        <v>255</v>
      </c>
      <c r="C118" s="472" t="s">
        <v>256</v>
      </c>
      <c r="D118" s="550">
        <v>14804</v>
      </c>
      <c r="E118" s="549">
        <v>14584</v>
      </c>
      <c r="F118" s="550">
        <v>14787</v>
      </c>
      <c r="G118" s="549">
        <f t="shared" si="4"/>
        <v>44175</v>
      </c>
      <c r="H118" s="550">
        <v>16161</v>
      </c>
      <c r="I118" s="549">
        <v>15511</v>
      </c>
      <c r="J118" s="550">
        <v>13976</v>
      </c>
      <c r="K118" s="550">
        <f t="shared" si="5"/>
        <v>45648</v>
      </c>
      <c r="L118" s="549">
        <v>0</v>
      </c>
      <c r="M118" s="550">
        <v>0</v>
      </c>
      <c r="N118" s="549">
        <v>0</v>
      </c>
      <c r="O118" s="518">
        <f t="shared" si="6"/>
        <v>0</v>
      </c>
      <c r="P118" s="549">
        <v>49816</v>
      </c>
      <c r="Q118" s="550">
        <v>559</v>
      </c>
      <c r="R118" s="549">
        <v>47899</v>
      </c>
      <c r="S118" s="550">
        <v>48458</v>
      </c>
      <c r="T118" s="556">
        <v>97.27</v>
      </c>
      <c r="U118" s="550">
        <v>1104</v>
      </c>
      <c r="V118" s="549">
        <v>559</v>
      </c>
      <c r="W118" s="550">
        <v>49562</v>
      </c>
      <c r="X118" s="549">
        <v>6475</v>
      </c>
      <c r="Y118" s="550">
        <v>0</v>
      </c>
      <c r="Z118" s="549">
        <v>49922</v>
      </c>
      <c r="AA118" s="550">
        <v>1309</v>
      </c>
      <c r="AB118" s="549">
        <v>47613</v>
      </c>
      <c r="AC118" s="550">
        <v>48922</v>
      </c>
      <c r="AD118" s="556">
        <v>98</v>
      </c>
      <c r="AE118" s="550">
        <v>-855</v>
      </c>
      <c r="AF118" s="549">
        <v>1179</v>
      </c>
      <c r="AG118" s="550">
        <v>47937</v>
      </c>
      <c r="AH118" s="549">
        <v>4389</v>
      </c>
      <c r="AI118" s="550">
        <v>52421978.370000005</v>
      </c>
      <c r="AJ118" s="549">
        <v>40589.31</v>
      </c>
      <c r="AK118" s="550">
        <v>101</v>
      </c>
      <c r="AL118" s="549">
        <v>1480.29</v>
      </c>
      <c r="AM118" s="473">
        <f t="shared" si="7"/>
        <v>60233.458989899991</v>
      </c>
      <c r="AN118" s="141"/>
      <c r="AO118" s="566"/>
      <c r="AP118" s="567"/>
    </row>
    <row r="119" spans="1:42">
      <c r="A119" s="471">
        <v>108</v>
      </c>
      <c r="B119" s="481" t="s">
        <v>257</v>
      </c>
      <c r="C119" s="472" t="s">
        <v>258</v>
      </c>
      <c r="D119" s="550">
        <v>10424</v>
      </c>
      <c r="E119" s="549">
        <v>10025</v>
      </c>
      <c r="F119" s="550">
        <v>10090</v>
      </c>
      <c r="G119" s="549">
        <f t="shared" si="4"/>
        <v>30539</v>
      </c>
      <c r="H119" s="550">
        <v>11514</v>
      </c>
      <c r="I119" s="549">
        <v>4131</v>
      </c>
      <c r="J119" s="550">
        <v>4082</v>
      </c>
      <c r="K119" s="550">
        <f t="shared" si="5"/>
        <v>19727</v>
      </c>
      <c r="L119" s="549">
        <v>0</v>
      </c>
      <c r="M119" s="550">
        <v>0</v>
      </c>
      <c r="N119" s="549">
        <v>0</v>
      </c>
      <c r="O119" s="518">
        <f t="shared" si="6"/>
        <v>0</v>
      </c>
      <c r="P119" s="549">
        <v>35066</v>
      </c>
      <c r="Q119" s="550">
        <v>354</v>
      </c>
      <c r="R119" s="549">
        <v>33860</v>
      </c>
      <c r="S119" s="550">
        <v>34214</v>
      </c>
      <c r="T119" s="556">
        <v>97.57</v>
      </c>
      <c r="U119" s="550">
        <v>217</v>
      </c>
      <c r="V119" s="549">
        <v>219</v>
      </c>
      <c r="W119" s="550">
        <v>34296</v>
      </c>
      <c r="X119" s="549">
        <v>5336</v>
      </c>
      <c r="Y119" s="550">
        <v>0</v>
      </c>
      <c r="Z119" s="549">
        <v>14200</v>
      </c>
      <c r="AA119" s="550">
        <v>78</v>
      </c>
      <c r="AB119" s="549">
        <v>13598</v>
      </c>
      <c r="AC119" s="550">
        <v>13676</v>
      </c>
      <c r="AD119" s="556">
        <v>96.31</v>
      </c>
      <c r="AE119" s="550">
        <v>-3862</v>
      </c>
      <c r="AF119" s="549">
        <v>39</v>
      </c>
      <c r="AG119" s="550">
        <v>9775</v>
      </c>
      <c r="AH119" s="549">
        <v>-3885</v>
      </c>
      <c r="AI119" s="550">
        <v>14864990.6</v>
      </c>
      <c r="AJ119" s="549">
        <v>27296.3</v>
      </c>
      <c r="AK119" s="550">
        <v>836.6</v>
      </c>
      <c r="AL119" s="549">
        <v>1453.32</v>
      </c>
      <c r="AM119" s="473">
        <f t="shared" si="7"/>
        <v>40886.10622799999</v>
      </c>
      <c r="AN119" s="141"/>
      <c r="AO119" s="566"/>
      <c r="AP119" s="567"/>
    </row>
    <row r="120" spans="1:42">
      <c r="A120" s="471">
        <v>109</v>
      </c>
      <c r="B120" s="481" t="s">
        <v>259</v>
      </c>
      <c r="C120" s="472" t="s">
        <v>260</v>
      </c>
      <c r="D120" s="550">
        <v>13320</v>
      </c>
      <c r="E120" s="549">
        <v>12907</v>
      </c>
      <c r="F120" s="550">
        <v>12824</v>
      </c>
      <c r="G120" s="549">
        <f t="shared" si="4"/>
        <v>39051</v>
      </c>
      <c r="H120" s="550">
        <v>7249</v>
      </c>
      <c r="I120" s="549">
        <v>6622</v>
      </c>
      <c r="J120" s="550">
        <v>6200</v>
      </c>
      <c r="K120" s="550">
        <f t="shared" si="5"/>
        <v>20071</v>
      </c>
      <c r="L120" s="549">
        <v>0</v>
      </c>
      <c r="M120" s="550">
        <v>0</v>
      </c>
      <c r="N120" s="549">
        <v>0</v>
      </c>
      <c r="O120" s="518">
        <f t="shared" si="6"/>
        <v>0</v>
      </c>
      <c r="P120" s="549">
        <v>43719</v>
      </c>
      <c r="Q120" s="550">
        <v>387</v>
      </c>
      <c r="R120" s="549">
        <v>42042</v>
      </c>
      <c r="S120" s="550">
        <v>42429</v>
      </c>
      <c r="T120" s="556">
        <v>97.05</v>
      </c>
      <c r="U120" s="550">
        <v>955</v>
      </c>
      <c r="V120" s="549">
        <v>181</v>
      </c>
      <c r="W120" s="550">
        <v>43178</v>
      </c>
      <c r="X120" s="549">
        <v>5854</v>
      </c>
      <c r="Y120" s="550">
        <v>0</v>
      </c>
      <c r="Z120" s="549">
        <v>22018</v>
      </c>
      <c r="AA120" s="550">
        <v>298</v>
      </c>
      <c r="AB120" s="549">
        <v>21261</v>
      </c>
      <c r="AC120" s="550">
        <v>21559</v>
      </c>
      <c r="AD120" s="556">
        <v>97.92</v>
      </c>
      <c r="AE120" s="550">
        <v>-206</v>
      </c>
      <c r="AF120" s="549">
        <v>11</v>
      </c>
      <c r="AG120" s="550">
        <v>21066</v>
      </c>
      <c r="AH120" s="549">
        <v>2483</v>
      </c>
      <c r="AI120" s="550">
        <v>22771493.68</v>
      </c>
      <c r="AJ120" s="549">
        <v>36621.699999999997</v>
      </c>
      <c r="AK120" s="550">
        <v>0</v>
      </c>
      <c r="AL120" s="549">
        <v>1439.43</v>
      </c>
      <c r="AM120" s="473">
        <f t="shared" si="7"/>
        <v>52714.373630999995</v>
      </c>
      <c r="AN120" s="141"/>
      <c r="AO120" s="566"/>
      <c r="AP120" s="567"/>
    </row>
    <row r="121" spans="1:42">
      <c r="A121" s="471">
        <v>110</v>
      </c>
      <c r="B121" s="481" t="s">
        <v>261</v>
      </c>
      <c r="C121" s="472" t="s">
        <v>262</v>
      </c>
      <c r="D121" s="550">
        <v>11486</v>
      </c>
      <c r="E121" s="549">
        <v>10920</v>
      </c>
      <c r="F121" s="550">
        <v>11033</v>
      </c>
      <c r="G121" s="549">
        <f t="shared" si="4"/>
        <v>33439</v>
      </c>
      <c r="H121" s="550">
        <v>8720</v>
      </c>
      <c r="I121" s="549">
        <v>9102</v>
      </c>
      <c r="J121" s="550">
        <v>8231</v>
      </c>
      <c r="K121" s="550">
        <f t="shared" si="5"/>
        <v>26053</v>
      </c>
      <c r="L121" s="549">
        <v>0</v>
      </c>
      <c r="M121" s="550">
        <v>0</v>
      </c>
      <c r="N121" s="549">
        <v>0</v>
      </c>
      <c r="O121" s="518">
        <f t="shared" si="6"/>
        <v>0</v>
      </c>
      <c r="P121" s="549">
        <v>37493</v>
      </c>
      <c r="Q121" s="550">
        <v>787</v>
      </c>
      <c r="R121" s="549">
        <v>35759</v>
      </c>
      <c r="S121" s="550">
        <v>36546</v>
      </c>
      <c r="T121" s="556">
        <v>97.47</v>
      </c>
      <c r="U121" s="550">
        <v>545</v>
      </c>
      <c r="V121" s="549">
        <v>771</v>
      </c>
      <c r="W121" s="550">
        <v>37075</v>
      </c>
      <c r="X121" s="549">
        <v>4595</v>
      </c>
      <c r="Y121" s="550">
        <v>0</v>
      </c>
      <c r="Z121" s="549">
        <v>28904</v>
      </c>
      <c r="AA121" s="550">
        <v>246</v>
      </c>
      <c r="AB121" s="549">
        <v>28250</v>
      </c>
      <c r="AC121" s="550">
        <v>28496</v>
      </c>
      <c r="AD121" s="556">
        <v>98.59</v>
      </c>
      <c r="AE121" s="550">
        <v>-235</v>
      </c>
      <c r="AF121" s="549">
        <v>151</v>
      </c>
      <c r="AG121" s="550">
        <v>28166</v>
      </c>
      <c r="AH121" s="549">
        <v>2807</v>
      </c>
      <c r="AI121" s="550">
        <v>30055658.490000002</v>
      </c>
      <c r="AJ121" s="549">
        <v>32176</v>
      </c>
      <c r="AK121" s="550">
        <v>0</v>
      </c>
      <c r="AL121" s="549">
        <v>1502.48</v>
      </c>
      <c r="AM121" s="473">
        <f t="shared" si="7"/>
        <v>48343.796480000005</v>
      </c>
      <c r="AN121" s="141"/>
      <c r="AO121" s="566"/>
      <c r="AP121" s="567"/>
    </row>
    <row r="122" spans="1:42">
      <c r="A122" s="471">
        <v>111</v>
      </c>
      <c r="B122" s="481" t="s">
        <v>263</v>
      </c>
      <c r="C122" s="472" t="s">
        <v>264</v>
      </c>
      <c r="D122" s="550">
        <v>24105</v>
      </c>
      <c r="E122" s="549">
        <v>23123</v>
      </c>
      <c r="F122" s="550">
        <v>23190</v>
      </c>
      <c r="G122" s="549">
        <f t="shared" si="4"/>
        <v>70418</v>
      </c>
      <c r="H122" s="550">
        <v>21882</v>
      </c>
      <c r="I122" s="549">
        <v>17332</v>
      </c>
      <c r="J122" s="550">
        <v>16884</v>
      </c>
      <c r="K122" s="550">
        <f t="shared" si="5"/>
        <v>56098</v>
      </c>
      <c r="L122" s="549">
        <v>0</v>
      </c>
      <c r="M122" s="550">
        <v>0</v>
      </c>
      <c r="N122" s="549">
        <v>0</v>
      </c>
      <c r="O122" s="518">
        <f t="shared" si="6"/>
        <v>0</v>
      </c>
      <c r="P122" s="549">
        <v>87172</v>
      </c>
      <c r="Q122" s="550">
        <v>2300</v>
      </c>
      <c r="R122" s="549">
        <v>79852</v>
      </c>
      <c r="S122" s="550">
        <v>82152</v>
      </c>
      <c r="T122" s="556">
        <v>94.24</v>
      </c>
      <c r="U122" s="550">
        <v>1873</v>
      </c>
      <c r="V122" s="549">
        <v>3014</v>
      </c>
      <c r="W122" s="550">
        <v>84739</v>
      </c>
      <c r="X122" s="549">
        <v>18101</v>
      </c>
      <c r="Y122" s="550">
        <v>0</v>
      </c>
      <c r="Z122" s="549">
        <v>63454</v>
      </c>
      <c r="AA122" s="550">
        <v>515</v>
      </c>
      <c r="AB122" s="549">
        <v>61322</v>
      </c>
      <c r="AC122" s="550">
        <v>61837</v>
      </c>
      <c r="AD122" s="556">
        <v>97.45</v>
      </c>
      <c r="AE122" s="550">
        <v>1650</v>
      </c>
      <c r="AF122" s="549">
        <v>612</v>
      </c>
      <c r="AG122" s="550">
        <v>63584</v>
      </c>
      <c r="AH122" s="549">
        <v>11713</v>
      </c>
      <c r="AI122" s="550">
        <v>63800533.269999996</v>
      </c>
      <c r="AJ122" s="549">
        <v>87772.2</v>
      </c>
      <c r="AK122" s="550">
        <v>274.39999999999998</v>
      </c>
      <c r="AL122" s="549">
        <v>1284.04</v>
      </c>
      <c r="AM122" s="473">
        <f t="shared" si="7"/>
        <v>113055.35626399999</v>
      </c>
      <c r="AN122" s="141"/>
      <c r="AO122" s="566"/>
      <c r="AP122" s="567"/>
    </row>
    <row r="123" spans="1:42">
      <c r="A123" s="471">
        <v>112</v>
      </c>
      <c r="B123" s="481" t="s">
        <v>265</v>
      </c>
      <c r="C123" s="472" t="s">
        <v>266</v>
      </c>
      <c r="D123" s="550">
        <v>24994</v>
      </c>
      <c r="E123" s="549">
        <v>24854</v>
      </c>
      <c r="F123" s="550">
        <v>25184</v>
      </c>
      <c r="G123" s="549">
        <f t="shared" si="4"/>
        <v>75032</v>
      </c>
      <c r="H123" s="550">
        <v>25531</v>
      </c>
      <c r="I123" s="549">
        <v>22295</v>
      </c>
      <c r="J123" s="550">
        <v>20921</v>
      </c>
      <c r="K123" s="550">
        <f t="shared" si="5"/>
        <v>68747</v>
      </c>
      <c r="L123" s="549">
        <v>0</v>
      </c>
      <c r="M123" s="550">
        <v>0</v>
      </c>
      <c r="N123" s="549">
        <v>0</v>
      </c>
      <c r="O123" s="518">
        <f t="shared" si="6"/>
        <v>0</v>
      </c>
      <c r="P123" s="549">
        <v>81255</v>
      </c>
      <c r="Q123" s="550">
        <v>2574</v>
      </c>
      <c r="R123" s="549">
        <v>78065</v>
      </c>
      <c r="S123" s="550">
        <v>80639</v>
      </c>
      <c r="T123" s="556">
        <v>99.24</v>
      </c>
      <c r="U123" s="550">
        <v>606</v>
      </c>
      <c r="V123" s="549">
        <v>2235</v>
      </c>
      <c r="W123" s="550">
        <v>80906</v>
      </c>
      <c r="X123" s="549">
        <v>9709</v>
      </c>
      <c r="Y123" s="550">
        <v>0</v>
      </c>
      <c r="Z123" s="549">
        <v>78321</v>
      </c>
      <c r="AA123" s="550">
        <v>1565</v>
      </c>
      <c r="AB123" s="549">
        <v>76004</v>
      </c>
      <c r="AC123" s="550">
        <v>77569</v>
      </c>
      <c r="AD123" s="556">
        <v>99.04</v>
      </c>
      <c r="AE123" s="550">
        <v>-2200</v>
      </c>
      <c r="AF123" s="549">
        <v>2502</v>
      </c>
      <c r="AG123" s="550">
        <v>76306</v>
      </c>
      <c r="AH123" s="549">
        <v>4271</v>
      </c>
      <c r="AI123" s="550">
        <v>81325547.210000008</v>
      </c>
      <c r="AJ123" s="549">
        <v>58732.6</v>
      </c>
      <c r="AK123" s="550">
        <v>430.7</v>
      </c>
      <c r="AL123" s="549">
        <v>1549.79</v>
      </c>
      <c r="AM123" s="473">
        <f t="shared" si="7"/>
        <v>91690.690706999987</v>
      </c>
      <c r="AN123" s="141"/>
      <c r="AO123" s="566"/>
      <c r="AP123" s="567"/>
    </row>
    <row r="124" spans="1:42">
      <c r="A124" s="471">
        <v>113</v>
      </c>
      <c r="B124" s="481" t="s">
        <v>267</v>
      </c>
      <c r="C124" s="472" t="s">
        <v>268</v>
      </c>
      <c r="D124" s="550">
        <v>21385</v>
      </c>
      <c r="E124" s="549">
        <v>20413</v>
      </c>
      <c r="F124" s="550">
        <v>20704</v>
      </c>
      <c r="G124" s="549">
        <f t="shared" si="4"/>
        <v>62502</v>
      </c>
      <c r="H124" s="550">
        <v>30950</v>
      </c>
      <c r="I124" s="549">
        <v>27391</v>
      </c>
      <c r="J124" s="550">
        <v>24962</v>
      </c>
      <c r="K124" s="550">
        <f t="shared" si="5"/>
        <v>83303</v>
      </c>
      <c r="L124" s="549">
        <v>0</v>
      </c>
      <c r="M124" s="550">
        <v>0</v>
      </c>
      <c r="N124" s="549">
        <v>0</v>
      </c>
      <c r="O124" s="518">
        <f t="shared" si="6"/>
        <v>0</v>
      </c>
      <c r="P124" s="549">
        <v>74715</v>
      </c>
      <c r="Q124" s="550">
        <v>1853</v>
      </c>
      <c r="R124" s="549">
        <v>67986</v>
      </c>
      <c r="S124" s="550">
        <v>69839</v>
      </c>
      <c r="T124" s="556">
        <v>93.47</v>
      </c>
      <c r="U124" s="550">
        <v>2655</v>
      </c>
      <c r="V124" s="549">
        <v>2475</v>
      </c>
      <c r="W124" s="550">
        <v>73116</v>
      </c>
      <c r="X124" s="549">
        <v>17395</v>
      </c>
      <c r="Y124" s="550">
        <v>0</v>
      </c>
      <c r="Z124" s="549">
        <v>85674</v>
      </c>
      <c r="AA124" s="550">
        <v>848</v>
      </c>
      <c r="AB124" s="549">
        <v>81026</v>
      </c>
      <c r="AC124" s="550">
        <v>81874</v>
      </c>
      <c r="AD124" s="556">
        <v>95.56</v>
      </c>
      <c r="AE124" s="550">
        <v>-225</v>
      </c>
      <c r="AF124" s="549">
        <v>654</v>
      </c>
      <c r="AG124" s="550">
        <v>81455</v>
      </c>
      <c r="AH124" s="549">
        <v>3837</v>
      </c>
      <c r="AI124" s="550">
        <v>94129801.099999994</v>
      </c>
      <c r="AJ124" s="549">
        <v>86951</v>
      </c>
      <c r="AK124" s="550">
        <v>0</v>
      </c>
      <c r="AL124" s="549">
        <v>1301.45</v>
      </c>
      <c r="AM124" s="473">
        <f t="shared" si="7"/>
        <v>113162.37895</v>
      </c>
      <c r="AN124" s="141"/>
      <c r="AO124" s="566"/>
      <c r="AP124" s="567"/>
    </row>
    <row r="125" spans="1:42">
      <c r="A125" s="471">
        <v>114</v>
      </c>
      <c r="B125" s="481" t="s">
        <v>269</v>
      </c>
      <c r="C125" s="472" t="s">
        <v>270</v>
      </c>
      <c r="D125" s="550">
        <v>13046</v>
      </c>
      <c r="E125" s="549">
        <v>12912</v>
      </c>
      <c r="F125" s="550">
        <v>12609</v>
      </c>
      <c r="G125" s="549">
        <f t="shared" si="4"/>
        <v>38567</v>
      </c>
      <c r="H125" s="550">
        <v>17932</v>
      </c>
      <c r="I125" s="549">
        <v>15035</v>
      </c>
      <c r="J125" s="550">
        <v>14212</v>
      </c>
      <c r="K125" s="550">
        <f t="shared" si="5"/>
        <v>47179</v>
      </c>
      <c r="L125" s="549">
        <v>0</v>
      </c>
      <c r="M125" s="550">
        <v>0</v>
      </c>
      <c r="N125" s="549">
        <v>0</v>
      </c>
      <c r="O125" s="518">
        <f t="shared" si="6"/>
        <v>0</v>
      </c>
      <c r="P125" s="549">
        <v>41549</v>
      </c>
      <c r="Q125" s="550">
        <v>204</v>
      </c>
      <c r="R125" s="549">
        <v>40135</v>
      </c>
      <c r="S125" s="550">
        <v>40339</v>
      </c>
      <c r="T125" s="556">
        <v>97.09</v>
      </c>
      <c r="U125" s="550">
        <v>895</v>
      </c>
      <c r="V125" s="549">
        <v>91</v>
      </c>
      <c r="W125" s="550">
        <v>41121</v>
      </c>
      <c r="X125" s="549">
        <v>5030</v>
      </c>
      <c r="Y125" s="550">
        <v>0</v>
      </c>
      <c r="Z125" s="549">
        <v>50725</v>
      </c>
      <c r="AA125" s="550">
        <v>103</v>
      </c>
      <c r="AB125" s="549">
        <v>49165</v>
      </c>
      <c r="AC125" s="550">
        <v>49268</v>
      </c>
      <c r="AD125" s="556">
        <v>97.13</v>
      </c>
      <c r="AE125" s="550">
        <v>-1537</v>
      </c>
      <c r="AF125" s="549">
        <v>35</v>
      </c>
      <c r="AG125" s="550">
        <v>47663</v>
      </c>
      <c r="AH125" s="549">
        <v>5655</v>
      </c>
      <c r="AI125" s="550">
        <v>52969010.700000003</v>
      </c>
      <c r="AJ125" s="549">
        <v>39081</v>
      </c>
      <c r="AK125" s="550">
        <v>0</v>
      </c>
      <c r="AL125" s="549">
        <v>1382.46</v>
      </c>
      <c r="AM125" s="473">
        <f t="shared" si="7"/>
        <v>54027.919259999995</v>
      </c>
      <c r="AN125" s="141"/>
      <c r="AO125" s="566"/>
      <c r="AP125" s="567"/>
    </row>
    <row r="126" spans="1:42">
      <c r="A126" s="471">
        <v>115</v>
      </c>
      <c r="B126" s="481" t="s">
        <v>271</v>
      </c>
      <c r="C126" s="472" t="s">
        <v>272</v>
      </c>
      <c r="D126" s="550">
        <v>14550</v>
      </c>
      <c r="E126" s="549">
        <v>14509</v>
      </c>
      <c r="F126" s="550">
        <v>13619</v>
      </c>
      <c r="G126" s="549">
        <f t="shared" si="4"/>
        <v>42678</v>
      </c>
      <c r="H126" s="550">
        <v>9813</v>
      </c>
      <c r="I126" s="549">
        <v>6974</v>
      </c>
      <c r="J126" s="550">
        <v>7178</v>
      </c>
      <c r="K126" s="550">
        <f t="shared" si="5"/>
        <v>23965</v>
      </c>
      <c r="L126" s="549">
        <v>0</v>
      </c>
      <c r="M126" s="550">
        <v>0</v>
      </c>
      <c r="N126" s="549">
        <v>0</v>
      </c>
      <c r="O126" s="518">
        <f t="shared" si="6"/>
        <v>0</v>
      </c>
      <c r="P126" s="549">
        <v>48364</v>
      </c>
      <c r="Q126" s="550">
        <v>520</v>
      </c>
      <c r="R126" s="549">
        <v>47152</v>
      </c>
      <c r="S126" s="550">
        <v>47672</v>
      </c>
      <c r="T126" s="556">
        <v>98.57</v>
      </c>
      <c r="U126" s="550">
        <v>543</v>
      </c>
      <c r="V126" s="549">
        <v>495</v>
      </c>
      <c r="W126" s="550">
        <v>48190</v>
      </c>
      <c r="X126" s="549">
        <v>6006</v>
      </c>
      <c r="Y126" s="550">
        <v>0</v>
      </c>
      <c r="Z126" s="549">
        <v>26399</v>
      </c>
      <c r="AA126" s="550">
        <v>265</v>
      </c>
      <c r="AB126" s="549">
        <v>25744</v>
      </c>
      <c r="AC126" s="550">
        <v>26009</v>
      </c>
      <c r="AD126" s="556">
        <v>98.52</v>
      </c>
      <c r="AE126" s="550">
        <v>-103</v>
      </c>
      <c r="AF126" s="549">
        <v>123</v>
      </c>
      <c r="AG126" s="550">
        <v>25764</v>
      </c>
      <c r="AH126" s="549">
        <v>2647</v>
      </c>
      <c r="AI126" s="550">
        <v>27375760.82</v>
      </c>
      <c r="AJ126" s="549">
        <v>36307.699999999997</v>
      </c>
      <c r="AK126" s="550">
        <v>606</v>
      </c>
      <c r="AL126" s="549">
        <v>1447.8</v>
      </c>
      <c r="AM126" s="473">
        <f t="shared" si="7"/>
        <v>53443.654859999995</v>
      </c>
      <c r="AN126" s="141"/>
      <c r="AO126" s="566"/>
      <c r="AP126" s="567"/>
    </row>
    <row r="127" spans="1:42">
      <c r="A127" s="471">
        <v>116</v>
      </c>
      <c r="B127" s="481" t="s">
        <v>273</v>
      </c>
      <c r="C127" s="472" t="s">
        <v>274</v>
      </c>
      <c r="D127" s="550">
        <v>21714</v>
      </c>
      <c r="E127" s="549">
        <v>19899</v>
      </c>
      <c r="F127" s="550">
        <v>20082</v>
      </c>
      <c r="G127" s="549">
        <f t="shared" si="4"/>
        <v>61695</v>
      </c>
      <c r="H127" s="550">
        <v>56185</v>
      </c>
      <c r="I127" s="549">
        <v>53571</v>
      </c>
      <c r="J127" s="550">
        <v>49922</v>
      </c>
      <c r="K127" s="550">
        <f t="shared" si="5"/>
        <v>159678</v>
      </c>
      <c r="L127" s="549">
        <v>0</v>
      </c>
      <c r="M127" s="550">
        <v>0</v>
      </c>
      <c r="N127" s="549">
        <v>0</v>
      </c>
      <c r="O127" s="518">
        <f t="shared" si="6"/>
        <v>0</v>
      </c>
      <c r="P127" s="549">
        <v>74173</v>
      </c>
      <c r="Q127" s="550">
        <v>2242</v>
      </c>
      <c r="R127" s="549">
        <v>69165</v>
      </c>
      <c r="S127" s="550">
        <v>71407</v>
      </c>
      <c r="T127" s="556">
        <v>96.27</v>
      </c>
      <c r="U127" s="550">
        <v>1820</v>
      </c>
      <c r="V127" s="549">
        <v>2084</v>
      </c>
      <c r="W127" s="550">
        <v>73069</v>
      </c>
      <c r="X127" s="549">
        <v>13113</v>
      </c>
      <c r="Y127" s="550">
        <v>0</v>
      </c>
      <c r="Z127" s="549">
        <v>189279</v>
      </c>
      <c r="AA127" s="550">
        <v>236</v>
      </c>
      <c r="AB127" s="549">
        <v>182107</v>
      </c>
      <c r="AC127" s="550">
        <v>182343</v>
      </c>
      <c r="AD127" s="556">
        <v>96.34</v>
      </c>
      <c r="AE127" s="550">
        <v>-10506</v>
      </c>
      <c r="AF127" s="549">
        <v>584</v>
      </c>
      <c r="AG127" s="550">
        <v>172185</v>
      </c>
      <c r="AH127" s="549">
        <v>25080</v>
      </c>
      <c r="AI127" s="550">
        <v>196772746.09999999</v>
      </c>
      <c r="AJ127" s="549">
        <v>82140</v>
      </c>
      <c r="AK127" s="550">
        <v>0</v>
      </c>
      <c r="AL127" s="549">
        <v>1060.9000000000001</v>
      </c>
      <c r="AM127" s="473">
        <f t="shared" si="7"/>
        <v>87142.326000000015</v>
      </c>
      <c r="AN127" s="141"/>
      <c r="AO127" s="566"/>
      <c r="AP127" s="567"/>
    </row>
    <row r="128" spans="1:42">
      <c r="A128" s="471">
        <v>117</v>
      </c>
      <c r="B128" s="481" t="s">
        <v>275</v>
      </c>
      <c r="C128" s="472" t="s">
        <v>276</v>
      </c>
      <c r="D128" s="550">
        <v>14246</v>
      </c>
      <c r="E128" s="549">
        <v>13708</v>
      </c>
      <c r="F128" s="550">
        <v>13911</v>
      </c>
      <c r="G128" s="549">
        <f t="shared" si="4"/>
        <v>41865</v>
      </c>
      <c r="H128" s="550">
        <v>11300</v>
      </c>
      <c r="I128" s="549">
        <v>10825</v>
      </c>
      <c r="J128" s="550">
        <v>10582</v>
      </c>
      <c r="K128" s="550">
        <f t="shared" si="5"/>
        <v>32707</v>
      </c>
      <c r="L128" s="549">
        <v>0</v>
      </c>
      <c r="M128" s="550">
        <v>0</v>
      </c>
      <c r="N128" s="549">
        <v>0</v>
      </c>
      <c r="O128" s="518">
        <f t="shared" si="6"/>
        <v>0</v>
      </c>
      <c r="P128" s="549">
        <v>46509</v>
      </c>
      <c r="Q128" s="550">
        <v>391</v>
      </c>
      <c r="R128" s="549">
        <v>45358</v>
      </c>
      <c r="S128" s="550">
        <v>45749</v>
      </c>
      <c r="T128" s="556">
        <v>98.37</v>
      </c>
      <c r="U128" s="550">
        <v>598</v>
      </c>
      <c r="V128" s="549">
        <v>467</v>
      </c>
      <c r="W128" s="550">
        <v>46423</v>
      </c>
      <c r="X128" s="549">
        <v>5896</v>
      </c>
      <c r="Y128" s="550">
        <v>0</v>
      </c>
      <c r="Z128" s="549">
        <v>35740</v>
      </c>
      <c r="AA128" s="550">
        <v>208</v>
      </c>
      <c r="AB128" s="549">
        <v>34970</v>
      </c>
      <c r="AC128" s="550">
        <v>35178</v>
      </c>
      <c r="AD128" s="556">
        <v>98.43</v>
      </c>
      <c r="AE128" s="550">
        <v>-1096</v>
      </c>
      <c r="AF128" s="549">
        <v>98</v>
      </c>
      <c r="AG128" s="550">
        <v>33972</v>
      </c>
      <c r="AH128" s="549">
        <v>4108</v>
      </c>
      <c r="AI128" s="550">
        <v>36643831.520000003</v>
      </c>
      <c r="AJ128" s="549">
        <v>33879</v>
      </c>
      <c r="AK128" s="550">
        <v>0</v>
      </c>
      <c r="AL128" s="549">
        <v>1498.14</v>
      </c>
      <c r="AM128" s="473">
        <f t="shared" si="7"/>
        <v>50755.485059999999</v>
      </c>
      <c r="AN128" s="141"/>
      <c r="AO128" s="566"/>
      <c r="AP128" s="567"/>
    </row>
    <row r="129" spans="1:42">
      <c r="A129" s="471">
        <v>118</v>
      </c>
      <c r="B129" s="481" t="s">
        <v>277</v>
      </c>
      <c r="C129" s="472" t="s">
        <v>278</v>
      </c>
      <c r="D129" s="550">
        <v>27180</v>
      </c>
      <c r="E129" s="549">
        <v>28890</v>
      </c>
      <c r="F129" s="550">
        <v>29396</v>
      </c>
      <c r="G129" s="549">
        <f t="shared" si="4"/>
        <v>85466</v>
      </c>
      <c r="H129" s="550">
        <v>15758</v>
      </c>
      <c r="I129" s="549">
        <v>20300</v>
      </c>
      <c r="J129" s="550">
        <v>18035</v>
      </c>
      <c r="K129" s="550">
        <f t="shared" si="5"/>
        <v>54093</v>
      </c>
      <c r="L129" s="549">
        <v>0</v>
      </c>
      <c r="M129" s="550">
        <v>0</v>
      </c>
      <c r="N129" s="549">
        <v>0</v>
      </c>
      <c r="O129" s="518">
        <f t="shared" si="6"/>
        <v>0</v>
      </c>
      <c r="P129" s="549">
        <v>99430</v>
      </c>
      <c r="Q129" s="550">
        <v>5311</v>
      </c>
      <c r="R129" s="549">
        <v>89293</v>
      </c>
      <c r="S129" s="550">
        <v>94604</v>
      </c>
      <c r="T129" s="556">
        <v>95.15</v>
      </c>
      <c r="U129" s="550">
        <v>3049</v>
      </c>
      <c r="V129" s="549">
        <v>5513</v>
      </c>
      <c r="W129" s="550">
        <v>97855</v>
      </c>
      <c r="X129" s="549">
        <v>18738</v>
      </c>
      <c r="Y129" s="550">
        <v>0</v>
      </c>
      <c r="Z129" s="549">
        <v>64162</v>
      </c>
      <c r="AA129" s="550">
        <v>2979</v>
      </c>
      <c r="AB129" s="549">
        <v>59162</v>
      </c>
      <c r="AC129" s="550">
        <v>62141</v>
      </c>
      <c r="AD129" s="556">
        <v>96.85</v>
      </c>
      <c r="AE129" s="550">
        <v>337</v>
      </c>
      <c r="AF129" s="549">
        <v>3006</v>
      </c>
      <c r="AG129" s="550">
        <v>62505</v>
      </c>
      <c r="AH129" s="549">
        <v>8824</v>
      </c>
      <c r="AI129" s="550">
        <v>67252078.25</v>
      </c>
      <c r="AJ129" s="549">
        <v>90722.1</v>
      </c>
      <c r="AK129" s="550">
        <v>0</v>
      </c>
      <c r="AL129" s="549">
        <v>1487.32</v>
      </c>
      <c r="AM129" s="473">
        <f t="shared" si="7"/>
        <v>134932.793772</v>
      </c>
      <c r="AN129" s="141"/>
      <c r="AO129" s="566"/>
      <c r="AP129" s="567"/>
    </row>
    <row r="130" spans="1:42">
      <c r="A130" s="471">
        <v>119</v>
      </c>
      <c r="B130" s="481" t="s">
        <v>279</v>
      </c>
      <c r="C130" s="472" t="s">
        <v>280</v>
      </c>
      <c r="D130" s="550">
        <v>10868</v>
      </c>
      <c r="E130" s="549">
        <v>10671</v>
      </c>
      <c r="F130" s="550">
        <v>10311</v>
      </c>
      <c r="G130" s="549">
        <f t="shared" si="4"/>
        <v>31850</v>
      </c>
      <c r="H130" s="550">
        <v>12965</v>
      </c>
      <c r="I130" s="549">
        <v>11938</v>
      </c>
      <c r="J130" s="550">
        <v>12110</v>
      </c>
      <c r="K130" s="550">
        <f t="shared" si="5"/>
        <v>37013</v>
      </c>
      <c r="L130" s="549">
        <v>0</v>
      </c>
      <c r="M130" s="550">
        <v>0</v>
      </c>
      <c r="N130" s="549">
        <v>0</v>
      </c>
      <c r="O130" s="518">
        <f t="shared" si="6"/>
        <v>0</v>
      </c>
      <c r="P130" s="549">
        <v>35892</v>
      </c>
      <c r="Q130" s="550">
        <v>549</v>
      </c>
      <c r="R130" s="549">
        <v>34002</v>
      </c>
      <c r="S130" s="550">
        <v>34551</v>
      </c>
      <c r="T130" s="556">
        <v>96.3</v>
      </c>
      <c r="U130" s="550">
        <v>1172</v>
      </c>
      <c r="V130" s="549">
        <v>567</v>
      </c>
      <c r="W130" s="550">
        <v>35741</v>
      </c>
      <c r="X130" s="549">
        <v>4979</v>
      </c>
      <c r="Y130" s="550">
        <v>0</v>
      </c>
      <c r="Z130" s="549">
        <v>45334</v>
      </c>
      <c r="AA130" s="550">
        <v>410</v>
      </c>
      <c r="AB130" s="549">
        <v>44240</v>
      </c>
      <c r="AC130" s="550">
        <v>44650</v>
      </c>
      <c r="AD130" s="556">
        <v>98.49</v>
      </c>
      <c r="AE130" s="550">
        <v>-649</v>
      </c>
      <c r="AF130" s="549">
        <v>123</v>
      </c>
      <c r="AG130" s="550">
        <v>43714</v>
      </c>
      <c r="AH130" s="549">
        <v>5122</v>
      </c>
      <c r="AI130" s="550">
        <v>47841868.850000001</v>
      </c>
      <c r="AJ130" s="549">
        <v>29131.9</v>
      </c>
      <c r="AK130" s="550">
        <v>0</v>
      </c>
      <c r="AL130" s="549">
        <v>1549.98</v>
      </c>
      <c r="AM130" s="473">
        <f t="shared" si="7"/>
        <v>45153.862362</v>
      </c>
      <c r="AN130" s="141"/>
      <c r="AO130" s="566"/>
      <c r="AP130" s="567"/>
    </row>
    <row r="131" spans="1:42">
      <c r="A131" s="471">
        <v>120</v>
      </c>
      <c r="B131" s="481" t="s">
        <v>281</v>
      </c>
      <c r="C131" s="472" t="s">
        <v>282</v>
      </c>
      <c r="D131" s="550">
        <v>26900</v>
      </c>
      <c r="E131" s="549">
        <v>26330</v>
      </c>
      <c r="F131" s="550">
        <v>26339</v>
      </c>
      <c r="G131" s="549">
        <f t="shared" si="4"/>
        <v>79569</v>
      </c>
      <c r="H131" s="550">
        <v>20060</v>
      </c>
      <c r="I131" s="549">
        <v>16588</v>
      </c>
      <c r="J131" s="550">
        <v>16743</v>
      </c>
      <c r="K131" s="550">
        <f t="shared" si="5"/>
        <v>53391</v>
      </c>
      <c r="L131" s="549">
        <v>0</v>
      </c>
      <c r="M131" s="550">
        <v>0</v>
      </c>
      <c r="N131" s="549">
        <v>0</v>
      </c>
      <c r="O131" s="518">
        <f t="shared" si="6"/>
        <v>0</v>
      </c>
      <c r="P131" s="549">
        <v>89866</v>
      </c>
      <c r="Q131" s="550">
        <v>1111</v>
      </c>
      <c r="R131" s="549">
        <v>87553</v>
      </c>
      <c r="S131" s="550">
        <v>88664</v>
      </c>
      <c r="T131" s="556">
        <v>98.66</v>
      </c>
      <c r="U131" s="550">
        <v>96</v>
      </c>
      <c r="V131" s="549">
        <v>1083</v>
      </c>
      <c r="W131" s="550">
        <v>88732</v>
      </c>
      <c r="X131" s="549">
        <v>10605</v>
      </c>
      <c r="Y131" s="550">
        <v>0</v>
      </c>
      <c r="Z131" s="549">
        <v>59341</v>
      </c>
      <c r="AA131" s="550">
        <v>484</v>
      </c>
      <c r="AB131" s="549">
        <v>57782</v>
      </c>
      <c r="AC131" s="550">
        <v>58266</v>
      </c>
      <c r="AD131" s="556">
        <v>98.19</v>
      </c>
      <c r="AE131" s="550">
        <v>-513</v>
      </c>
      <c r="AF131" s="549">
        <v>527</v>
      </c>
      <c r="AG131" s="550">
        <v>57796</v>
      </c>
      <c r="AH131" s="549">
        <v>5634</v>
      </c>
      <c r="AI131" s="550">
        <v>61138458.879999995</v>
      </c>
      <c r="AJ131" s="549">
        <v>63543.73</v>
      </c>
      <c r="AK131" s="550">
        <v>500.2</v>
      </c>
      <c r="AL131" s="549">
        <v>1554.03</v>
      </c>
      <c r="AM131" s="473">
        <f t="shared" si="7"/>
        <v>99526.188537900001</v>
      </c>
      <c r="AN131" s="141"/>
      <c r="AO131" s="566"/>
      <c r="AP131" s="567"/>
    </row>
    <row r="132" spans="1:42">
      <c r="A132" s="471">
        <v>121</v>
      </c>
      <c r="B132" s="481" t="s">
        <v>283</v>
      </c>
      <c r="C132" s="472" t="s">
        <v>284</v>
      </c>
      <c r="D132" s="550">
        <v>33894</v>
      </c>
      <c r="E132" s="549">
        <v>32954</v>
      </c>
      <c r="F132" s="550">
        <v>32836</v>
      </c>
      <c r="G132" s="549">
        <f t="shared" si="4"/>
        <v>99684</v>
      </c>
      <c r="H132" s="550">
        <v>17853</v>
      </c>
      <c r="I132" s="549">
        <v>12770</v>
      </c>
      <c r="J132" s="550">
        <v>13515</v>
      </c>
      <c r="K132" s="550">
        <f t="shared" si="5"/>
        <v>44138</v>
      </c>
      <c r="L132" s="549">
        <v>0</v>
      </c>
      <c r="M132" s="550">
        <v>0</v>
      </c>
      <c r="N132" s="549">
        <v>0</v>
      </c>
      <c r="O132" s="518">
        <f t="shared" si="6"/>
        <v>0</v>
      </c>
      <c r="P132" s="549">
        <v>113634</v>
      </c>
      <c r="Q132" s="550">
        <v>2313</v>
      </c>
      <c r="R132" s="549">
        <v>108716</v>
      </c>
      <c r="S132" s="550">
        <v>111029</v>
      </c>
      <c r="T132" s="556">
        <v>97.71</v>
      </c>
      <c r="U132" s="550">
        <v>1921</v>
      </c>
      <c r="V132" s="549">
        <v>1932</v>
      </c>
      <c r="W132" s="550">
        <v>112569</v>
      </c>
      <c r="X132" s="549">
        <v>17737</v>
      </c>
      <c r="Y132" s="550">
        <v>0</v>
      </c>
      <c r="Z132" s="549">
        <v>50368</v>
      </c>
      <c r="AA132" s="550">
        <v>294</v>
      </c>
      <c r="AB132" s="549">
        <v>47740</v>
      </c>
      <c r="AC132" s="550">
        <v>48034</v>
      </c>
      <c r="AD132" s="556">
        <v>95.37</v>
      </c>
      <c r="AE132" s="550">
        <v>350</v>
      </c>
      <c r="AF132" s="549">
        <v>315</v>
      </c>
      <c r="AG132" s="550">
        <v>48405</v>
      </c>
      <c r="AH132" s="549">
        <v>6029</v>
      </c>
      <c r="AI132" s="550">
        <v>51502695.549999997</v>
      </c>
      <c r="AJ132" s="549">
        <v>90003</v>
      </c>
      <c r="AK132" s="550">
        <v>0</v>
      </c>
      <c r="AL132" s="549">
        <v>1513.28</v>
      </c>
      <c r="AM132" s="473">
        <f t="shared" si="7"/>
        <v>136199.73983999999</v>
      </c>
      <c r="AN132" s="141"/>
      <c r="AO132" s="566"/>
      <c r="AP132" s="567"/>
    </row>
    <row r="133" spans="1:42">
      <c r="A133" s="471">
        <v>122</v>
      </c>
      <c r="B133" s="481" t="s">
        <v>285</v>
      </c>
      <c r="C133" s="472" t="s">
        <v>286</v>
      </c>
      <c r="D133" s="550">
        <v>16316</v>
      </c>
      <c r="E133" s="549">
        <v>16133</v>
      </c>
      <c r="F133" s="550">
        <v>15986</v>
      </c>
      <c r="G133" s="549">
        <f t="shared" si="4"/>
        <v>48435</v>
      </c>
      <c r="H133" s="550">
        <v>9791</v>
      </c>
      <c r="I133" s="549">
        <v>7905</v>
      </c>
      <c r="J133" s="550">
        <v>7675</v>
      </c>
      <c r="K133" s="550">
        <f t="shared" si="5"/>
        <v>25371</v>
      </c>
      <c r="L133" s="549">
        <v>0</v>
      </c>
      <c r="M133" s="550">
        <v>0</v>
      </c>
      <c r="N133" s="549">
        <v>0</v>
      </c>
      <c r="O133" s="518">
        <f t="shared" si="6"/>
        <v>0</v>
      </c>
      <c r="P133" s="549">
        <v>53913</v>
      </c>
      <c r="Q133" s="550">
        <v>540</v>
      </c>
      <c r="R133" s="549">
        <v>52678</v>
      </c>
      <c r="S133" s="550">
        <v>53218</v>
      </c>
      <c r="T133" s="556">
        <v>98.71</v>
      </c>
      <c r="U133" s="550">
        <v>514</v>
      </c>
      <c r="V133" s="549">
        <v>531</v>
      </c>
      <c r="W133" s="550">
        <v>53723</v>
      </c>
      <c r="X133" s="549">
        <v>6301</v>
      </c>
      <c r="Y133" s="550">
        <v>0</v>
      </c>
      <c r="Z133" s="549">
        <v>28716</v>
      </c>
      <c r="AA133" s="550">
        <v>447</v>
      </c>
      <c r="AB133" s="549">
        <v>27671</v>
      </c>
      <c r="AC133" s="550">
        <v>28118</v>
      </c>
      <c r="AD133" s="556">
        <v>97.92</v>
      </c>
      <c r="AE133" s="550">
        <v>-1550</v>
      </c>
      <c r="AF133" s="549">
        <v>224</v>
      </c>
      <c r="AG133" s="550">
        <v>26345</v>
      </c>
      <c r="AH133" s="549">
        <v>1347</v>
      </c>
      <c r="AI133" s="550">
        <v>30595830.990000002</v>
      </c>
      <c r="AJ133" s="549">
        <v>39237.83</v>
      </c>
      <c r="AK133" s="550">
        <v>0</v>
      </c>
      <c r="AL133" s="549">
        <v>1461.84</v>
      </c>
      <c r="AM133" s="473">
        <f t="shared" si="7"/>
        <v>57359.429407200005</v>
      </c>
      <c r="AN133" s="141"/>
      <c r="AO133" s="566"/>
      <c r="AP133" s="567"/>
    </row>
    <row r="134" spans="1:42">
      <c r="A134" s="471">
        <v>123</v>
      </c>
      <c r="B134" s="481" t="s">
        <v>287</v>
      </c>
      <c r="C134" s="472" t="s">
        <v>288</v>
      </c>
      <c r="D134" s="550">
        <v>10446</v>
      </c>
      <c r="E134" s="549">
        <v>10362</v>
      </c>
      <c r="F134" s="550">
        <v>10427</v>
      </c>
      <c r="G134" s="549">
        <f t="shared" si="4"/>
        <v>31235</v>
      </c>
      <c r="H134" s="550">
        <v>8953</v>
      </c>
      <c r="I134" s="549">
        <v>9562</v>
      </c>
      <c r="J134" s="550">
        <v>8415</v>
      </c>
      <c r="K134" s="550">
        <f t="shared" si="5"/>
        <v>26930</v>
      </c>
      <c r="L134" s="549">
        <v>0</v>
      </c>
      <c r="M134" s="550">
        <v>0</v>
      </c>
      <c r="N134" s="549">
        <v>0</v>
      </c>
      <c r="O134" s="518">
        <f t="shared" si="6"/>
        <v>0</v>
      </c>
      <c r="P134" s="549">
        <v>35191</v>
      </c>
      <c r="Q134" s="550">
        <v>248</v>
      </c>
      <c r="R134" s="549">
        <v>33883</v>
      </c>
      <c r="S134" s="550">
        <v>34131</v>
      </c>
      <c r="T134" s="556">
        <v>96.99</v>
      </c>
      <c r="U134" s="550">
        <v>810</v>
      </c>
      <c r="V134" s="549">
        <v>282</v>
      </c>
      <c r="W134" s="550">
        <v>34975</v>
      </c>
      <c r="X134" s="549">
        <v>5319</v>
      </c>
      <c r="Y134" s="550">
        <v>0</v>
      </c>
      <c r="Z134" s="549">
        <v>28642</v>
      </c>
      <c r="AA134" s="550">
        <v>75</v>
      </c>
      <c r="AB134" s="549">
        <v>28004</v>
      </c>
      <c r="AC134" s="550">
        <v>28079</v>
      </c>
      <c r="AD134" s="556">
        <v>98.03</v>
      </c>
      <c r="AE134" s="550">
        <v>-549</v>
      </c>
      <c r="AF134" s="549">
        <v>52</v>
      </c>
      <c r="AG134" s="550">
        <v>27507</v>
      </c>
      <c r="AH134" s="549">
        <v>2604</v>
      </c>
      <c r="AI134" s="550">
        <v>31024160.599999994</v>
      </c>
      <c r="AJ134" s="549">
        <v>29204.6</v>
      </c>
      <c r="AK134" s="550">
        <v>0</v>
      </c>
      <c r="AL134" s="549">
        <v>1685.73</v>
      </c>
      <c r="AM134" s="473">
        <f t="shared" si="7"/>
        <v>49231.070357999997</v>
      </c>
      <c r="AN134" s="141"/>
      <c r="AO134" s="566"/>
      <c r="AP134" s="567"/>
    </row>
    <row r="135" spans="1:42">
      <c r="A135" s="471">
        <v>124</v>
      </c>
      <c r="B135" s="481" t="s">
        <v>289</v>
      </c>
      <c r="C135" s="472" t="s">
        <v>290</v>
      </c>
      <c r="D135" s="550">
        <v>13406</v>
      </c>
      <c r="E135" s="549">
        <v>11131</v>
      </c>
      <c r="F135" s="550">
        <v>10905</v>
      </c>
      <c r="G135" s="549">
        <f t="shared" si="4"/>
        <v>35442</v>
      </c>
      <c r="H135" s="550">
        <v>8171</v>
      </c>
      <c r="I135" s="549">
        <v>5905</v>
      </c>
      <c r="J135" s="550">
        <v>5906</v>
      </c>
      <c r="K135" s="550">
        <f t="shared" si="5"/>
        <v>19982</v>
      </c>
      <c r="L135" s="549">
        <v>0</v>
      </c>
      <c r="M135" s="550">
        <v>0</v>
      </c>
      <c r="N135" s="549">
        <v>0</v>
      </c>
      <c r="O135" s="518">
        <f t="shared" si="6"/>
        <v>0</v>
      </c>
      <c r="P135" s="549">
        <v>38047</v>
      </c>
      <c r="Q135" s="550">
        <v>497</v>
      </c>
      <c r="R135" s="549">
        <v>36261</v>
      </c>
      <c r="S135" s="550">
        <v>36758</v>
      </c>
      <c r="T135" s="556">
        <v>96.61</v>
      </c>
      <c r="U135" s="550">
        <v>633</v>
      </c>
      <c r="V135" s="549">
        <v>479</v>
      </c>
      <c r="W135" s="550">
        <v>37373</v>
      </c>
      <c r="X135" s="549">
        <v>2810</v>
      </c>
      <c r="Y135" s="550">
        <v>0</v>
      </c>
      <c r="Z135" s="549">
        <v>21251</v>
      </c>
      <c r="AA135" s="550">
        <v>65</v>
      </c>
      <c r="AB135" s="549">
        <v>20622</v>
      </c>
      <c r="AC135" s="550">
        <v>20687</v>
      </c>
      <c r="AD135" s="556">
        <v>97.35</v>
      </c>
      <c r="AE135" s="550">
        <v>-470</v>
      </c>
      <c r="AF135" s="549">
        <v>21</v>
      </c>
      <c r="AG135" s="550">
        <v>20173</v>
      </c>
      <c r="AH135" s="549">
        <v>1365</v>
      </c>
      <c r="AI135" s="550">
        <v>21747397.09</v>
      </c>
      <c r="AJ135" s="549">
        <v>30714</v>
      </c>
      <c r="AK135" s="550">
        <v>0</v>
      </c>
      <c r="AL135" s="549">
        <v>1614.43</v>
      </c>
      <c r="AM135" s="473">
        <f t="shared" si="7"/>
        <v>49585.603020000002</v>
      </c>
      <c r="AN135" s="141"/>
      <c r="AO135" s="566"/>
      <c r="AP135" s="567"/>
    </row>
    <row r="136" spans="1:42">
      <c r="A136" s="471">
        <v>125</v>
      </c>
      <c r="B136" s="481" t="s">
        <v>291</v>
      </c>
      <c r="C136" s="472" t="s">
        <v>292</v>
      </c>
      <c r="D136" s="550">
        <v>16062</v>
      </c>
      <c r="E136" s="549">
        <v>15587</v>
      </c>
      <c r="F136" s="550">
        <v>15924</v>
      </c>
      <c r="G136" s="549">
        <f t="shared" si="4"/>
        <v>47573</v>
      </c>
      <c r="H136" s="550">
        <v>9709</v>
      </c>
      <c r="I136" s="549">
        <v>9128</v>
      </c>
      <c r="J136" s="550">
        <v>8826.39</v>
      </c>
      <c r="K136" s="550">
        <f t="shared" si="5"/>
        <v>27663.39</v>
      </c>
      <c r="L136" s="549">
        <v>0</v>
      </c>
      <c r="M136" s="550">
        <v>0</v>
      </c>
      <c r="N136" s="549">
        <v>0</v>
      </c>
      <c r="O136" s="518">
        <f t="shared" si="6"/>
        <v>0</v>
      </c>
      <c r="P136" s="549">
        <v>53323</v>
      </c>
      <c r="Q136" s="550">
        <v>749</v>
      </c>
      <c r="R136" s="549">
        <v>51226</v>
      </c>
      <c r="S136" s="550">
        <v>51975</v>
      </c>
      <c r="T136" s="556">
        <v>97.47</v>
      </c>
      <c r="U136" s="550">
        <v>731</v>
      </c>
      <c r="V136" s="549">
        <v>907</v>
      </c>
      <c r="W136" s="550">
        <v>52864</v>
      </c>
      <c r="X136" s="549">
        <v>6488</v>
      </c>
      <c r="Y136" s="550">
        <v>0</v>
      </c>
      <c r="Z136" s="549">
        <v>31038</v>
      </c>
      <c r="AA136" s="550">
        <v>384</v>
      </c>
      <c r="AB136" s="549">
        <v>30306</v>
      </c>
      <c r="AC136" s="550">
        <v>30690</v>
      </c>
      <c r="AD136" s="556">
        <v>98.88</v>
      </c>
      <c r="AE136" s="550">
        <v>-348</v>
      </c>
      <c r="AF136" s="549">
        <v>725</v>
      </c>
      <c r="AG136" s="550">
        <v>30683</v>
      </c>
      <c r="AH136" s="549">
        <v>3120</v>
      </c>
      <c r="AI136" s="550">
        <v>33267252.75</v>
      </c>
      <c r="AJ136" s="549">
        <v>43697.1</v>
      </c>
      <c r="AK136" s="550">
        <v>42</v>
      </c>
      <c r="AL136" s="549">
        <v>1443.29</v>
      </c>
      <c r="AM136" s="473">
        <f t="shared" si="7"/>
        <v>63128.205639</v>
      </c>
      <c r="AN136" s="141"/>
      <c r="AO136" s="566"/>
      <c r="AP136" s="567"/>
    </row>
    <row r="137" spans="1:42">
      <c r="A137" s="471">
        <v>126</v>
      </c>
      <c r="B137" s="481" t="s">
        <v>293</v>
      </c>
      <c r="C137" s="472" t="s">
        <v>294</v>
      </c>
      <c r="D137" s="550">
        <v>34850</v>
      </c>
      <c r="E137" s="549">
        <v>34325</v>
      </c>
      <c r="F137" s="550">
        <v>34150</v>
      </c>
      <c r="G137" s="549">
        <f t="shared" si="4"/>
        <v>103325</v>
      </c>
      <c r="H137" s="550">
        <v>21893</v>
      </c>
      <c r="I137" s="549">
        <v>18771</v>
      </c>
      <c r="J137" s="550">
        <v>19738</v>
      </c>
      <c r="K137" s="550">
        <f t="shared" si="5"/>
        <v>60402</v>
      </c>
      <c r="L137" s="549">
        <v>0</v>
      </c>
      <c r="M137" s="550">
        <v>0</v>
      </c>
      <c r="N137" s="549">
        <v>0</v>
      </c>
      <c r="O137" s="518">
        <f t="shared" si="6"/>
        <v>0</v>
      </c>
      <c r="P137" s="549">
        <v>118854</v>
      </c>
      <c r="Q137" s="550">
        <v>3905</v>
      </c>
      <c r="R137" s="549">
        <v>111354</v>
      </c>
      <c r="S137" s="550">
        <v>115259</v>
      </c>
      <c r="T137" s="556">
        <v>96.98</v>
      </c>
      <c r="U137" s="550">
        <v>2304</v>
      </c>
      <c r="V137" s="549">
        <v>3772</v>
      </c>
      <c r="W137" s="550">
        <v>117430</v>
      </c>
      <c r="X137" s="549">
        <v>16830</v>
      </c>
      <c r="Y137" s="550">
        <v>0</v>
      </c>
      <c r="Z137" s="549">
        <v>71634</v>
      </c>
      <c r="AA137" s="550">
        <v>791</v>
      </c>
      <c r="AB137" s="549">
        <v>68079</v>
      </c>
      <c r="AC137" s="550">
        <v>68870</v>
      </c>
      <c r="AD137" s="556">
        <v>96.14</v>
      </c>
      <c r="AE137" s="550">
        <v>-763</v>
      </c>
      <c r="AF137" s="549">
        <v>2470</v>
      </c>
      <c r="AG137" s="550">
        <v>69786</v>
      </c>
      <c r="AH137" s="549">
        <v>8253</v>
      </c>
      <c r="AI137" s="550">
        <v>75469068.079999998</v>
      </c>
      <c r="AJ137" s="549">
        <v>93235</v>
      </c>
      <c r="AK137" s="550">
        <v>0</v>
      </c>
      <c r="AL137" s="549">
        <v>1498.18</v>
      </c>
      <c r="AM137" s="473">
        <f t="shared" si="7"/>
        <v>139682.81230000002</v>
      </c>
      <c r="AN137" s="141"/>
      <c r="AO137" s="566"/>
      <c r="AP137" s="567"/>
    </row>
    <row r="138" spans="1:42">
      <c r="A138" s="471">
        <v>127</v>
      </c>
      <c r="B138" s="481" t="s">
        <v>708</v>
      </c>
      <c r="C138" s="472" t="s">
        <v>295</v>
      </c>
      <c r="D138" s="550">
        <v>29877</v>
      </c>
      <c r="E138" s="549">
        <v>27995</v>
      </c>
      <c r="F138" s="550">
        <v>27854</v>
      </c>
      <c r="G138" s="549">
        <f t="shared" si="4"/>
        <v>85726</v>
      </c>
      <c r="H138" s="550">
        <v>14548</v>
      </c>
      <c r="I138" s="549">
        <v>13702</v>
      </c>
      <c r="J138" s="550">
        <v>11640</v>
      </c>
      <c r="K138" s="550">
        <f t="shared" si="5"/>
        <v>39890</v>
      </c>
      <c r="L138" s="549">
        <v>0</v>
      </c>
      <c r="M138" s="550">
        <v>0</v>
      </c>
      <c r="N138" s="549">
        <v>0</v>
      </c>
      <c r="O138" s="518">
        <f t="shared" si="6"/>
        <v>0</v>
      </c>
      <c r="P138" s="549">
        <v>94441</v>
      </c>
      <c r="Q138" s="550">
        <v>957</v>
      </c>
      <c r="R138" s="549">
        <v>92170</v>
      </c>
      <c r="S138" s="550">
        <v>93127</v>
      </c>
      <c r="T138" s="556">
        <v>98.61</v>
      </c>
      <c r="U138" s="550">
        <v>674</v>
      </c>
      <c r="V138" s="549">
        <v>686</v>
      </c>
      <c r="W138" s="550">
        <v>93530</v>
      </c>
      <c r="X138" s="549">
        <v>11312</v>
      </c>
      <c r="Y138" s="550">
        <v>0</v>
      </c>
      <c r="Z138" s="549">
        <v>44944</v>
      </c>
      <c r="AA138" s="550">
        <v>644</v>
      </c>
      <c r="AB138" s="549">
        <v>43895</v>
      </c>
      <c r="AC138" s="550">
        <v>44539</v>
      </c>
      <c r="AD138" s="556">
        <v>99.1</v>
      </c>
      <c r="AE138" s="550">
        <v>-387</v>
      </c>
      <c r="AF138" s="549">
        <v>503</v>
      </c>
      <c r="AG138" s="550">
        <v>44010</v>
      </c>
      <c r="AH138" s="549">
        <v>4152</v>
      </c>
      <c r="AI138" s="550">
        <v>47729699.229999997</v>
      </c>
      <c r="AJ138" s="549">
        <v>72622.759999999995</v>
      </c>
      <c r="AK138" s="550">
        <v>276.5</v>
      </c>
      <c r="AL138" s="549">
        <v>1519.24</v>
      </c>
      <c r="AM138" s="473">
        <f t="shared" si="7"/>
        <v>110751.47176239999</v>
      </c>
      <c r="AN138" s="141"/>
      <c r="AO138" s="566"/>
      <c r="AP138" s="567"/>
    </row>
    <row r="139" spans="1:42">
      <c r="A139" s="471">
        <v>128</v>
      </c>
      <c r="B139" s="481" t="s">
        <v>296</v>
      </c>
      <c r="C139" s="472" t="s">
        <v>297</v>
      </c>
      <c r="D139" s="550">
        <v>17041</v>
      </c>
      <c r="E139" s="549">
        <v>16100</v>
      </c>
      <c r="F139" s="550">
        <v>15842</v>
      </c>
      <c r="G139" s="549">
        <f t="shared" si="4"/>
        <v>48983</v>
      </c>
      <c r="H139" s="550">
        <v>13958</v>
      </c>
      <c r="I139" s="549">
        <v>12686</v>
      </c>
      <c r="J139" s="550">
        <v>12556</v>
      </c>
      <c r="K139" s="550">
        <f t="shared" si="5"/>
        <v>39200</v>
      </c>
      <c r="L139" s="549">
        <v>0</v>
      </c>
      <c r="M139" s="550">
        <v>0</v>
      </c>
      <c r="N139" s="549">
        <v>0</v>
      </c>
      <c r="O139" s="518">
        <f t="shared" si="6"/>
        <v>0</v>
      </c>
      <c r="P139" s="549">
        <v>54528</v>
      </c>
      <c r="Q139" s="550">
        <v>805</v>
      </c>
      <c r="R139" s="549">
        <v>52617</v>
      </c>
      <c r="S139" s="550">
        <v>53422</v>
      </c>
      <c r="T139" s="556">
        <v>97.97</v>
      </c>
      <c r="U139" s="550">
        <v>2509</v>
      </c>
      <c r="V139" s="549">
        <v>808</v>
      </c>
      <c r="W139" s="550">
        <v>55934</v>
      </c>
      <c r="X139" s="549">
        <v>7863</v>
      </c>
      <c r="Y139" s="550">
        <v>0</v>
      </c>
      <c r="Z139" s="549">
        <v>45487</v>
      </c>
      <c r="AA139" s="550">
        <v>699</v>
      </c>
      <c r="AB139" s="549">
        <v>43947</v>
      </c>
      <c r="AC139" s="550">
        <v>44646</v>
      </c>
      <c r="AD139" s="556">
        <v>98.15</v>
      </c>
      <c r="AE139" s="550">
        <v>15</v>
      </c>
      <c r="AF139" s="549">
        <v>441</v>
      </c>
      <c r="AG139" s="550">
        <v>44403</v>
      </c>
      <c r="AH139" s="549">
        <v>5165</v>
      </c>
      <c r="AI139" s="550">
        <v>47850877.600000001</v>
      </c>
      <c r="AJ139" s="549">
        <v>42498</v>
      </c>
      <c r="AK139" s="550">
        <v>320</v>
      </c>
      <c r="AL139" s="549">
        <v>1447.1</v>
      </c>
      <c r="AM139" s="473">
        <f t="shared" si="7"/>
        <v>61961.927799999998</v>
      </c>
      <c r="AN139" s="141"/>
      <c r="AO139" s="566"/>
      <c r="AP139" s="567"/>
    </row>
    <row r="140" spans="1:42">
      <c r="A140" s="471">
        <v>129</v>
      </c>
      <c r="B140" s="481" t="s">
        <v>298</v>
      </c>
      <c r="C140" s="472" t="s">
        <v>299</v>
      </c>
      <c r="D140" s="550">
        <v>13893</v>
      </c>
      <c r="E140" s="549">
        <v>12566</v>
      </c>
      <c r="F140" s="550">
        <v>12588</v>
      </c>
      <c r="G140" s="549">
        <f t="shared" si="4"/>
        <v>39047</v>
      </c>
      <c r="H140" s="550">
        <v>7634</v>
      </c>
      <c r="I140" s="549">
        <v>7324</v>
      </c>
      <c r="J140" s="550">
        <v>6501</v>
      </c>
      <c r="K140" s="550">
        <f t="shared" si="5"/>
        <v>21459</v>
      </c>
      <c r="L140" s="549">
        <v>0</v>
      </c>
      <c r="M140" s="550">
        <v>0</v>
      </c>
      <c r="N140" s="549">
        <v>0</v>
      </c>
      <c r="O140" s="518">
        <f t="shared" si="6"/>
        <v>0</v>
      </c>
      <c r="P140" s="549">
        <v>42612</v>
      </c>
      <c r="Q140" s="550">
        <v>434</v>
      </c>
      <c r="R140" s="549">
        <v>41486</v>
      </c>
      <c r="S140" s="550">
        <v>41920</v>
      </c>
      <c r="T140" s="556">
        <v>98.38</v>
      </c>
      <c r="U140" s="550">
        <v>792</v>
      </c>
      <c r="V140" s="549">
        <v>556</v>
      </c>
      <c r="W140" s="550">
        <v>42834</v>
      </c>
      <c r="X140" s="549">
        <v>4370</v>
      </c>
      <c r="Y140" s="550">
        <v>0</v>
      </c>
      <c r="Z140" s="549">
        <v>23225</v>
      </c>
      <c r="AA140" s="550">
        <v>121</v>
      </c>
      <c r="AB140" s="549">
        <v>22774</v>
      </c>
      <c r="AC140" s="550">
        <v>22895</v>
      </c>
      <c r="AD140" s="556">
        <v>98.58</v>
      </c>
      <c r="AE140" s="550">
        <v>-919</v>
      </c>
      <c r="AF140" s="549">
        <v>60</v>
      </c>
      <c r="AG140" s="550">
        <v>21915</v>
      </c>
      <c r="AH140" s="549">
        <v>1488</v>
      </c>
      <c r="AI140" s="550">
        <v>24264761.210000001</v>
      </c>
      <c r="AJ140" s="549">
        <v>32849</v>
      </c>
      <c r="AK140" s="550">
        <v>0</v>
      </c>
      <c r="AL140" s="549">
        <v>1504.06</v>
      </c>
      <c r="AM140" s="473">
        <f t="shared" si="7"/>
        <v>49406.86694</v>
      </c>
      <c r="AN140" s="141"/>
      <c r="AO140" s="566"/>
      <c r="AP140" s="567"/>
    </row>
    <row r="141" spans="1:42">
      <c r="A141" s="471">
        <v>130</v>
      </c>
      <c r="B141" s="481" t="s">
        <v>300</v>
      </c>
      <c r="C141" s="472" t="s">
        <v>301</v>
      </c>
      <c r="D141" s="550">
        <v>37560</v>
      </c>
      <c r="E141" s="549">
        <v>34969.17</v>
      </c>
      <c r="F141" s="550">
        <v>35525</v>
      </c>
      <c r="G141" s="549">
        <f t="shared" ref="G141:G204" si="8">SUM(D141:F141)</f>
        <v>108054.17</v>
      </c>
      <c r="H141" s="550">
        <v>104536</v>
      </c>
      <c r="I141" s="549">
        <v>97916</v>
      </c>
      <c r="J141" s="550">
        <v>96214</v>
      </c>
      <c r="K141" s="550">
        <f t="shared" ref="K141:K204" si="9">SUM(H141:J141)</f>
        <v>298666</v>
      </c>
      <c r="L141" s="549">
        <v>0</v>
      </c>
      <c r="M141" s="550">
        <v>0</v>
      </c>
      <c r="N141" s="549">
        <v>0</v>
      </c>
      <c r="O141" s="518">
        <f t="shared" ref="O141:O204" si="10">SUM(L141:N141)</f>
        <v>0</v>
      </c>
      <c r="P141" s="549">
        <v>121778</v>
      </c>
      <c r="Q141" s="550">
        <v>1621</v>
      </c>
      <c r="R141" s="549">
        <v>116879</v>
      </c>
      <c r="S141" s="550">
        <v>118500</v>
      </c>
      <c r="T141" s="556">
        <v>97.31</v>
      </c>
      <c r="U141" s="550">
        <v>3548</v>
      </c>
      <c r="V141" s="549">
        <v>2125</v>
      </c>
      <c r="W141" s="550">
        <v>122552</v>
      </c>
      <c r="X141" s="549">
        <v>15649</v>
      </c>
      <c r="Y141" s="550">
        <v>0</v>
      </c>
      <c r="Z141" s="549">
        <v>333896</v>
      </c>
      <c r="AA141" s="550">
        <v>1746</v>
      </c>
      <c r="AB141" s="549">
        <v>328005</v>
      </c>
      <c r="AC141" s="550">
        <v>329751</v>
      </c>
      <c r="AD141" s="556">
        <v>98.76</v>
      </c>
      <c r="AE141" s="550">
        <v>-7943</v>
      </c>
      <c r="AF141" s="549">
        <v>8213</v>
      </c>
      <c r="AG141" s="550">
        <v>328275</v>
      </c>
      <c r="AH141" s="549">
        <v>34088</v>
      </c>
      <c r="AI141" s="550">
        <v>348746510.99000001</v>
      </c>
      <c r="AJ141" s="549">
        <v>101823</v>
      </c>
      <c r="AK141" s="550">
        <v>684</v>
      </c>
      <c r="AL141" s="549">
        <v>1415.93</v>
      </c>
      <c r="AM141" s="473">
        <f t="shared" ref="AM141:AM204" si="11">((AJ141+AK141)*AL141)/1000</f>
        <v>145142.73651000002</v>
      </c>
      <c r="AN141" s="141"/>
      <c r="AO141" s="566"/>
      <c r="AP141" s="567"/>
    </row>
    <row r="142" spans="1:42">
      <c r="A142" s="471">
        <v>131</v>
      </c>
      <c r="B142" s="481" t="s">
        <v>302</v>
      </c>
      <c r="C142" s="472" t="s">
        <v>303</v>
      </c>
      <c r="D142" s="550">
        <v>14684</v>
      </c>
      <c r="E142" s="549">
        <v>14485</v>
      </c>
      <c r="F142" s="550">
        <v>14338</v>
      </c>
      <c r="G142" s="549">
        <f t="shared" si="8"/>
        <v>43507</v>
      </c>
      <c r="H142" s="550">
        <v>8549</v>
      </c>
      <c r="I142" s="549">
        <v>6360</v>
      </c>
      <c r="J142" s="550">
        <v>8933</v>
      </c>
      <c r="K142" s="550">
        <f t="shared" si="9"/>
        <v>23842</v>
      </c>
      <c r="L142" s="549">
        <v>0</v>
      </c>
      <c r="M142" s="550">
        <v>0</v>
      </c>
      <c r="N142" s="549">
        <v>0</v>
      </c>
      <c r="O142" s="518">
        <f t="shared" si="10"/>
        <v>0</v>
      </c>
      <c r="P142" s="549">
        <v>48949</v>
      </c>
      <c r="Q142" s="550">
        <v>631</v>
      </c>
      <c r="R142" s="549">
        <v>47417</v>
      </c>
      <c r="S142" s="550">
        <v>48048</v>
      </c>
      <c r="T142" s="556">
        <v>98.16</v>
      </c>
      <c r="U142" s="550">
        <v>373</v>
      </c>
      <c r="V142" s="549">
        <v>750</v>
      </c>
      <c r="W142" s="550">
        <v>48540</v>
      </c>
      <c r="X142" s="549">
        <v>6211</v>
      </c>
      <c r="Y142" s="550">
        <v>0</v>
      </c>
      <c r="Z142" s="549">
        <v>28415</v>
      </c>
      <c r="AA142" s="550">
        <v>85</v>
      </c>
      <c r="AB142" s="549">
        <v>27651</v>
      </c>
      <c r="AC142" s="550">
        <v>27736</v>
      </c>
      <c r="AD142" s="556">
        <v>97.61</v>
      </c>
      <c r="AE142" s="550">
        <v>-210</v>
      </c>
      <c r="AF142" s="549">
        <v>229</v>
      </c>
      <c r="AG142" s="550">
        <v>27670</v>
      </c>
      <c r="AH142" s="549">
        <v>3213</v>
      </c>
      <c r="AI142" s="550">
        <v>28290380.48</v>
      </c>
      <c r="AJ142" s="549">
        <v>37997.800000000003</v>
      </c>
      <c r="AK142" s="550">
        <v>0</v>
      </c>
      <c r="AL142" s="549">
        <v>1448.86</v>
      </c>
      <c r="AM142" s="473">
        <f t="shared" si="11"/>
        <v>55053.492508000003</v>
      </c>
      <c r="AN142" s="141"/>
      <c r="AO142" s="566"/>
      <c r="AP142" s="567"/>
    </row>
    <row r="143" spans="1:42">
      <c r="A143" s="471">
        <v>132</v>
      </c>
      <c r="B143" s="481" t="s">
        <v>304</v>
      </c>
      <c r="C143" s="472" t="s">
        <v>305</v>
      </c>
      <c r="D143" s="550">
        <v>23727</v>
      </c>
      <c r="E143" s="549">
        <v>23585</v>
      </c>
      <c r="F143" s="550">
        <v>23533</v>
      </c>
      <c r="G143" s="549">
        <f t="shared" si="8"/>
        <v>70845</v>
      </c>
      <c r="H143" s="550">
        <v>11382</v>
      </c>
      <c r="I143" s="549">
        <v>13323</v>
      </c>
      <c r="J143" s="550">
        <v>10674</v>
      </c>
      <c r="K143" s="550">
        <f t="shared" si="9"/>
        <v>35379</v>
      </c>
      <c r="L143" s="549">
        <v>0</v>
      </c>
      <c r="M143" s="550">
        <v>0</v>
      </c>
      <c r="N143" s="549">
        <v>0</v>
      </c>
      <c r="O143" s="518">
        <f t="shared" si="10"/>
        <v>0</v>
      </c>
      <c r="P143" s="549">
        <v>80531</v>
      </c>
      <c r="Q143" s="550">
        <v>1128</v>
      </c>
      <c r="R143" s="549">
        <v>78264</v>
      </c>
      <c r="S143" s="550">
        <v>79392</v>
      </c>
      <c r="T143" s="556">
        <v>98.59</v>
      </c>
      <c r="U143" s="550">
        <v>648</v>
      </c>
      <c r="V143" s="549">
        <v>1293</v>
      </c>
      <c r="W143" s="550">
        <v>80205</v>
      </c>
      <c r="X143" s="549">
        <v>10202</v>
      </c>
      <c r="Y143" s="550">
        <v>0</v>
      </c>
      <c r="Z143" s="549">
        <v>39326</v>
      </c>
      <c r="AA143" s="550">
        <v>984</v>
      </c>
      <c r="AB143" s="549">
        <v>37353</v>
      </c>
      <c r="AC143" s="550">
        <v>38337</v>
      </c>
      <c r="AD143" s="556">
        <v>97.49</v>
      </c>
      <c r="AE143" s="550">
        <v>-580</v>
      </c>
      <c r="AF143" s="549">
        <v>711</v>
      </c>
      <c r="AG143" s="550">
        <v>37484</v>
      </c>
      <c r="AH143" s="549">
        <v>3900</v>
      </c>
      <c r="AI143" s="550">
        <v>39539351.970000006</v>
      </c>
      <c r="AJ143" s="549">
        <v>58990.400000000001</v>
      </c>
      <c r="AK143" s="550">
        <v>0</v>
      </c>
      <c r="AL143" s="549">
        <v>1481.72</v>
      </c>
      <c r="AM143" s="473">
        <f t="shared" si="11"/>
        <v>87407.25548800001</v>
      </c>
      <c r="AN143" s="141"/>
      <c r="AO143" s="566"/>
      <c r="AP143" s="567"/>
    </row>
    <row r="144" spans="1:42">
      <c r="A144" s="471">
        <v>133</v>
      </c>
      <c r="B144" s="481" t="s">
        <v>306</v>
      </c>
      <c r="C144" s="472" t="s">
        <v>307</v>
      </c>
      <c r="D144" s="550">
        <v>31937</v>
      </c>
      <c r="E144" s="549">
        <v>30165</v>
      </c>
      <c r="F144" s="550">
        <v>29620</v>
      </c>
      <c r="G144" s="549">
        <f t="shared" si="8"/>
        <v>91722</v>
      </c>
      <c r="H144" s="550">
        <v>49775</v>
      </c>
      <c r="I144" s="549">
        <v>42069</v>
      </c>
      <c r="J144" s="550">
        <v>40678</v>
      </c>
      <c r="K144" s="550">
        <f t="shared" si="9"/>
        <v>132522</v>
      </c>
      <c r="L144" s="549">
        <v>0</v>
      </c>
      <c r="M144" s="550">
        <v>0</v>
      </c>
      <c r="N144" s="549">
        <v>0</v>
      </c>
      <c r="O144" s="518">
        <f t="shared" si="10"/>
        <v>0</v>
      </c>
      <c r="P144" s="549">
        <v>105154</v>
      </c>
      <c r="Q144" s="550">
        <v>1313</v>
      </c>
      <c r="R144" s="549">
        <v>101511</v>
      </c>
      <c r="S144" s="550">
        <v>102824</v>
      </c>
      <c r="T144" s="556">
        <v>97.78</v>
      </c>
      <c r="U144" s="550">
        <v>3694</v>
      </c>
      <c r="V144" s="549">
        <v>1248</v>
      </c>
      <c r="W144" s="550">
        <v>106453</v>
      </c>
      <c r="X144" s="549">
        <v>16370</v>
      </c>
      <c r="Y144" s="550">
        <v>0</v>
      </c>
      <c r="Z144" s="549">
        <v>152067</v>
      </c>
      <c r="AA144" s="550">
        <v>641</v>
      </c>
      <c r="AB144" s="549">
        <v>148926</v>
      </c>
      <c r="AC144" s="550">
        <v>149567</v>
      </c>
      <c r="AD144" s="556">
        <v>98.36</v>
      </c>
      <c r="AE144" s="550">
        <v>-1922</v>
      </c>
      <c r="AF144" s="549">
        <v>322</v>
      </c>
      <c r="AG144" s="550">
        <v>147326</v>
      </c>
      <c r="AH144" s="549">
        <v>14088</v>
      </c>
      <c r="AI144" s="550">
        <v>158657974.47</v>
      </c>
      <c r="AJ144" s="549">
        <v>91232.08</v>
      </c>
      <c r="AK144" s="550">
        <v>84.7</v>
      </c>
      <c r="AL144" s="549">
        <v>1388.2</v>
      </c>
      <c r="AM144" s="473">
        <f t="shared" si="11"/>
        <v>126765.95399600001</v>
      </c>
      <c r="AN144" s="141"/>
      <c r="AO144" s="566"/>
      <c r="AP144" s="567"/>
    </row>
    <row r="145" spans="1:42">
      <c r="A145" s="471">
        <v>134</v>
      </c>
      <c r="B145" s="481" t="s">
        <v>308</v>
      </c>
      <c r="C145" s="472" t="s">
        <v>309</v>
      </c>
      <c r="D145" s="550">
        <v>26079</v>
      </c>
      <c r="E145" s="549">
        <v>25945</v>
      </c>
      <c r="F145" s="550">
        <v>25658</v>
      </c>
      <c r="G145" s="549">
        <f t="shared" si="8"/>
        <v>77682</v>
      </c>
      <c r="H145" s="550">
        <v>18954</v>
      </c>
      <c r="I145" s="549">
        <v>16067</v>
      </c>
      <c r="J145" s="550">
        <v>15608</v>
      </c>
      <c r="K145" s="550">
        <f t="shared" si="9"/>
        <v>50629</v>
      </c>
      <c r="L145" s="549">
        <v>0</v>
      </c>
      <c r="M145" s="550">
        <v>0</v>
      </c>
      <c r="N145" s="549">
        <v>0</v>
      </c>
      <c r="O145" s="518">
        <f t="shared" si="10"/>
        <v>0</v>
      </c>
      <c r="P145" s="549">
        <v>83944</v>
      </c>
      <c r="Q145" s="550">
        <v>161</v>
      </c>
      <c r="R145" s="549">
        <v>82584</v>
      </c>
      <c r="S145" s="550">
        <v>82745</v>
      </c>
      <c r="T145" s="556">
        <v>98.57</v>
      </c>
      <c r="U145" s="550">
        <v>1230</v>
      </c>
      <c r="V145" s="549">
        <v>160</v>
      </c>
      <c r="W145" s="550">
        <v>83974</v>
      </c>
      <c r="X145" s="549">
        <v>10087</v>
      </c>
      <c r="Y145" s="550">
        <v>0</v>
      </c>
      <c r="Z145" s="549">
        <v>55972</v>
      </c>
      <c r="AA145" s="550">
        <v>54</v>
      </c>
      <c r="AB145" s="549">
        <v>55114</v>
      </c>
      <c r="AC145" s="550">
        <v>55168</v>
      </c>
      <c r="AD145" s="556">
        <v>98.56</v>
      </c>
      <c r="AE145" s="550">
        <v>-722</v>
      </c>
      <c r="AF145" s="549">
        <v>262</v>
      </c>
      <c r="AG145" s="550">
        <v>54654</v>
      </c>
      <c r="AH145" s="549">
        <v>5483</v>
      </c>
      <c r="AI145" s="550">
        <v>59222751.390000001</v>
      </c>
      <c r="AJ145" s="549">
        <v>61667.9</v>
      </c>
      <c r="AK145" s="550">
        <v>337.5</v>
      </c>
      <c r="AL145" s="549">
        <v>1557.92</v>
      </c>
      <c r="AM145" s="473">
        <f t="shared" si="11"/>
        <v>96599.452768000003</v>
      </c>
      <c r="AN145" s="141"/>
      <c r="AO145" s="566"/>
      <c r="AP145" s="567"/>
    </row>
    <row r="146" spans="1:42">
      <c r="A146" s="471">
        <v>135</v>
      </c>
      <c r="B146" s="481" t="s">
        <v>310</v>
      </c>
      <c r="C146" s="472" t="s">
        <v>311</v>
      </c>
      <c r="D146" s="550">
        <v>8676</v>
      </c>
      <c r="E146" s="549">
        <v>8541</v>
      </c>
      <c r="F146" s="550">
        <v>8586</v>
      </c>
      <c r="G146" s="549">
        <f t="shared" si="8"/>
        <v>25803</v>
      </c>
      <c r="H146" s="550">
        <v>6818</v>
      </c>
      <c r="I146" s="549">
        <v>5809</v>
      </c>
      <c r="J146" s="550">
        <v>5914</v>
      </c>
      <c r="K146" s="550">
        <f t="shared" si="9"/>
        <v>18541</v>
      </c>
      <c r="L146" s="549">
        <v>0</v>
      </c>
      <c r="M146" s="550">
        <v>0</v>
      </c>
      <c r="N146" s="549">
        <v>0</v>
      </c>
      <c r="O146" s="518">
        <f t="shared" si="10"/>
        <v>0</v>
      </c>
      <c r="P146" s="549">
        <v>28963</v>
      </c>
      <c r="Q146" s="550">
        <v>397</v>
      </c>
      <c r="R146" s="549">
        <v>27231</v>
      </c>
      <c r="S146" s="550">
        <v>27628</v>
      </c>
      <c r="T146" s="556">
        <v>95.39</v>
      </c>
      <c r="U146" s="550">
        <v>449</v>
      </c>
      <c r="V146" s="549">
        <v>460</v>
      </c>
      <c r="W146" s="550">
        <v>28140</v>
      </c>
      <c r="X146" s="549">
        <v>3630</v>
      </c>
      <c r="Y146" s="550">
        <v>0</v>
      </c>
      <c r="Z146" s="549">
        <v>20907</v>
      </c>
      <c r="AA146" s="550">
        <v>170</v>
      </c>
      <c r="AB146" s="549">
        <v>18958</v>
      </c>
      <c r="AC146" s="550">
        <v>19128</v>
      </c>
      <c r="AD146" s="556">
        <v>91.49</v>
      </c>
      <c r="AE146" s="550">
        <v>170</v>
      </c>
      <c r="AF146" s="549">
        <v>287</v>
      </c>
      <c r="AG146" s="550">
        <v>19415</v>
      </c>
      <c r="AH146" s="549">
        <v>2272</v>
      </c>
      <c r="AI146" s="550">
        <v>22278580.739999998</v>
      </c>
      <c r="AJ146" s="549">
        <v>24394.9</v>
      </c>
      <c r="AK146" s="550">
        <v>0</v>
      </c>
      <c r="AL146" s="549">
        <v>1533.84</v>
      </c>
      <c r="AM146" s="473">
        <f t="shared" si="11"/>
        <v>37417.873416000002</v>
      </c>
      <c r="AN146" s="141"/>
      <c r="AO146" s="566"/>
      <c r="AP146" s="567"/>
    </row>
    <row r="147" spans="1:42">
      <c r="A147" s="471">
        <v>136</v>
      </c>
      <c r="B147" s="481" t="s">
        <v>312</v>
      </c>
      <c r="C147" s="472" t="s">
        <v>313</v>
      </c>
      <c r="D147" s="550">
        <v>19311</v>
      </c>
      <c r="E147" s="549">
        <v>15431</v>
      </c>
      <c r="F147" s="550">
        <v>14981</v>
      </c>
      <c r="G147" s="549">
        <f t="shared" si="8"/>
        <v>49723</v>
      </c>
      <c r="H147" s="550">
        <v>20667</v>
      </c>
      <c r="I147" s="549">
        <v>15925</v>
      </c>
      <c r="J147" s="550">
        <v>14548</v>
      </c>
      <c r="K147" s="550">
        <f t="shared" si="9"/>
        <v>51140</v>
      </c>
      <c r="L147" s="549">
        <v>0</v>
      </c>
      <c r="M147" s="550">
        <v>0</v>
      </c>
      <c r="N147" s="549">
        <v>0</v>
      </c>
      <c r="O147" s="518">
        <f t="shared" si="10"/>
        <v>0</v>
      </c>
      <c r="P147" s="549">
        <v>55160</v>
      </c>
      <c r="Q147" s="550">
        <v>605</v>
      </c>
      <c r="R147" s="549">
        <v>52423</v>
      </c>
      <c r="S147" s="550">
        <v>53028</v>
      </c>
      <c r="T147" s="556">
        <v>96.13</v>
      </c>
      <c r="U147" s="550">
        <v>1248</v>
      </c>
      <c r="V147" s="549">
        <v>482</v>
      </c>
      <c r="W147" s="550">
        <v>54153</v>
      </c>
      <c r="X147" s="549">
        <v>7754</v>
      </c>
      <c r="Y147" s="550">
        <v>0</v>
      </c>
      <c r="Z147" s="549">
        <v>53158</v>
      </c>
      <c r="AA147" s="550">
        <v>483</v>
      </c>
      <c r="AB147" s="549">
        <v>51161</v>
      </c>
      <c r="AC147" s="550">
        <v>51644</v>
      </c>
      <c r="AD147" s="556">
        <v>97.15</v>
      </c>
      <c r="AE147" s="550">
        <v>716</v>
      </c>
      <c r="AF147" s="549">
        <v>115</v>
      </c>
      <c r="AG147" s="550">
        <v>51992</v>
      </c>
      <c r="AH147" s="549">
        <v>3283</v>
      </c>
      <c r="AI147" s="550">
        <v>54782213.950000003</v>
      </c>
      <c r="AJ147" s="549">
        <v>42654.6</v>
      </c>
      <c r="AK147" s="550">
        <v>17.399999999999999</v>
      </c>
      <c r="AL147" s="549">
        <v>1609.11</v>
      </c>
      <c r="AM147" s="473">
        <f t="shared" si="11"/>
        <v>68663.941919999997</v>
      </c>
      <c r="AN147" s="141"/>
      <c r="AO147" s="566"/>
      <c r="AP147" s="567"/>
    </row>
    <row r="148" spans="1:42">
      <c r="A148" s="471">
        <v>137</v>
      </c>
      <c r="B148" s="481" t="s">
        <v>314</v>
      </c>
      <c r="C148" s="472" t="s">
        <v>315</v>
      </c>
      <c r="D148" s="550">
        <v>21815</v>
      </c>
      <c r="E148" s="549">
        <v>20441</v>
      </c>
      <c r="F148" s="550">
        <v>20168</v>
      </c>
      <c r="G148" s="549">
        <f t="shared" si="8"/>
        <v>62424</v>
      </c>
      <c r="H148" s="550">
        <v>12941</v>
      </c>
      <c r="I148" s="549">
        <v>8950</v>
      </c>
      <c r="J148" s="550">
        <v>8338</v>
      </c>
      <c r="K148" s="550">
        <f t="shared" si="9"/>
        <v>30229</v>
      </c>
      <c r="L148" s="549">
        <v>0</v>
      </c>
      <c r="M148" s="550">
        <v>0</v>
      </c>
      <c r="N148" s="549">
        <v>0</v>
      </c>
      <c r="O148" s="518">
        <f t="shared" si="10"/>
        <v>0</v>
      </c>
      <c r="P148" s="549">
        <v>68802</v>
      </c>
      <c r="Q148" s="550">
        <v>778</v>
      </c>
      <c r="R148" s="549">
        <v>66529</v>
      </c>
      <c r="S148" s="550">
        <v>67307</v>
      </c>
      <c r="T148" s="556">
        <v>97.83</v>
      </c>
      <c r="U148" s="550">
        <v>428</v>
      </c>
      <c r="V148" s="549">
        <v>791</v>
      </c>
      <c r="W148" s="550">
        <v>67748</v>
      </c>
      <c r="X148" s="549">
        <v>7481</v>
      </c>
      <c r="Y148" s="550">
        <v>0</v>
      </c>
      <c r="Z148" s="549">
        <v>33870</v>
      </c>
      <c r="AA148" s="550">
        <v>140</v>
      </c>
      <c r="AB148" s="549">
        <v>33178</v>
      </c>
      <c r="AC148" s="550">
        <v>33318</v>
      </c>
      <c r="AD148" s="556">
        <v>98.37</v>
      </c>
      <c r="AE148" s="550">
        <v>-39</v>
      </c>
      <c r="AF148" s="549">
        <v>133</v>
      </c>
      <c r="AG148" s="550">
        <v>33272</v>
      </c>
      <c r="AH148" s="549">
        <v>3629</v>
      </c>
      <c r="AI148" s="550">
        <v>35227959.950000003</v>
      </c>
      <c r="AJ148" s="549">
        <v>56760.6</v>
      </c>
      <c r="AK148" s="550">
        <v>0</v>
      </c>
      <c r="AL148" s="549">
        <v>1475.08</v>
      </c>
      <c r="AM148" s="473">
        <f t="shared" si="11"/>
        <v>83726.425847999984</v>
      </c>
      <c r="AN148" s="141"/>
      <c r="AO148" s="566"/>
      <c r="AP148" s="567"/>
    </row>
    <row r="149" spans="1:42">
      <c r="A149" s="471">
        <v>138</v>
      </c>
      <c r="B149" s="481" t="s">
        <v>316</v>
      </c>
      <c r="C149" s="472" t="s">
        <v>317</v>
      </c>
      <c r="D149" s="550">
        <v>545</v>
      </c>
      <c r="E149" s="549">
        <v>448</v>
      </c>
      <c r="F149" s="550">
        <v>448</v>
      </c>
      <c r="G149" s="549">
        <f t="shared" si="8"/>
        <v>1441</v>
      </c>
      <c r="H149" s="550">
        <v>502</v>
      </c>
      <c r="I149" s="549">
        <v>475</v>
      </c>
      <c r="J149" s="550">
        <v>475</v>
      </c>
      <c r="K149" s="550">
        <f t="shared" si="9"/>
        <v>1452</v>
      </c>
      <c r="L149" s="549">
        <v>0</v>
      </c>
      <c r="M149" s="550">
        <v>0</v>
      </c>
      <c r="N149" s="549">
        <v>0</v>
      </c>
      <c r="O149" s="518">
        <f t="shared" si="10"/>
        <v>0</v>
      </c>
      <c r="P149" s="549">
        <v>1519</v>
      </c>
      <c r="Q149" s="550">
        <v>25</v>
      </c>
      <c r="R149" s="549">
        <v>1456</v>
      </c>
      <c r="S149" s="550">
        <v>1482</v>
      </c>
      <c r="T149" s="556">
        <v>97.56</v>
      </c>
      <c r="U149" s="550">
        <v>39</v>
      </c>
      <c r="V149" s="549">
        <v>29</v>
      </c>
      <c r="W149" s="550">
        <v>1524</v>
      </c>
      <c r="X149" s="549">
        <v>176</v>
      </c>
      <c r="Y149" s="550">
        <v>0</v>
      </c>
      <c r="Z149" s="549">
        <v>1505</v>
      </c>
      <c r="AA149" s="550">
        <v>22</v>
      </c>
      <c r="AB149" s="549">
        <v>1384</v>
      </c>
      <c r="AC149" s="550">
        <v>1407</v>
      </c>
      <c r="AD149" s="556">
        <v>93.49</v>
      </c>
      <c r="AE149" s="550">
        <v>64</v>
      </c>
      <c r="AF149" s="549">
        <v>6</v>
      </c>
      <c r="AG149" s="550">
        <v>1455</v>
      </c>
      <c r="AH149" s="549">
        <v>104</v>
      </c>
      <c r="AI149" s="550">
        <v>1671670.74</v>
      </c>
      <c r="AJ149" s="549">
        <v>1364.3</v>
      </c>
      <c r="AK149" s="550">
        <v>0</v>
      </c>
      <c r="AL149" s="549">
        <v>1193.06</v>
      </c>
      <c r="AM149" s="473">
        <f t="shared" si="11"/>
        <v>1627.6917579999999</v>
      </c>
      <c r="AN149" s="141"/>
      <c r="AO149" s="566"/>
      <c r="AP149" s="567"/>
    </row>
    <row r="150" spans="1:42">
      <c r="A150" s="471">
        <v>139</v>
      </c>
      <c r="B150" s="481" t="s">
        <v>318</v>
      </c>
      <c r="C150" s="472" t="s">
        <v>319</v>
      </c>
      <c r="D150" s="550">
        <v>24136</v>
      </c>
      <c r="E150" s="549">
        <v>22369</v>
      </c>
      <c r="F150" s="550">
        <v>20373</v>
      </c>
      <c r="G150" s="549">
        <f t="shared" si="8"/>
        <v>66878</v>
      </c>
      <c r="H150" s="550">
        <v>59359</v>
      </c>
      <c r="I150" s="549">
        <v>46152</v>
      </c>
      <c r="J150" s="550">
        <v>43226</v>
      </c>
      <c r="K150" s="550">
        <f t="shared" si="9"/>
        <v>148737</v>
      </c>
      <c r="L150" s="549">
        <v>1</v>
      </c>
      <c r="M150" s="550">
        <v>1</v>
      </c>
      <c r="N150" s="549">
        <v>0</v>
      </c>
      <c r="O150" s="518">
        <f t="shared" si="10"/>
        <v>2</v>
      </c>
      <c r="P150" s="549">
        <v>86790</v>
      </c>
      <c r="Q150" s="550">
        <v>1435</v>
      </c>
      <c r="R150" s="549">
        <v>83126</v>
      </c>
      <c r="S150" s="550">
        <v>84561</v>
      </c>
      <c r="T150" s="556">
        <v>97.43</v>
      </c>
      <c r="U150" s="550">
        <v>1946</v>
      </c>
      <c r="V150" s="549">
        <v>1380</v>
      </c>
      <c r="W150" s="550">
        <v>86452</v>
      </c>
      <c r="X150" s="549">
        <v>22746</v>
      </c>
      <c r="Y150" s="550">
        <v>0</v>
      </c>
      <c r="Z150" s="549">
        <v>185983</v>
      </c>
      <c r="AA150" s="550">
        <v>7552</v>
      </c>
      <c r="AB150" s="549">
        <v>173850</v>
      </c>
      <c r="AC150" s="550">
        <v>181402</v>
      </c>
      <c r="AD150" s="556">
        <v>97.54</v>
      </c>
      <c r="AE150" s="550">
        <v>10477</v>
      </c>
      <c r="AF150" s="549">
        <v>6354</v>
      </c>
      <c r="AG150" s="550">
        <v>190681</v>
      </c>
      <c r="AH150" s="549">
        <v>44461</v>
      </c>
      <c r="AI150" s="550">
        <v>197170464.97999999</v>
      </c>
      <c r="AJ150" s="549">
        <v>95071</v>
      </c>
      <c r="AK150" s="550">
        <v>0</v>
      </c>
      <c r="AL150" s="549">
        <v>1264.8699999999999</v>
      </c>
      <c r="AM150" s="473">
        <f t="shared" si="11"/>
        <v>120252.45577</v>
      </c>
      <c r="AN150" s="141"/>
      <c r="AO150" s="566"/>
      <c r="AP150" s="567"/>
    </row>
    <row r="151" spans="1:42">
      <c r="A151" s="471">
        <v>140</v>
      </c>
      <c r="B151" s="481" t="s">
        <v>320</v>
      </c>
      <c r="C151" s="472" t="s">
        <v>321</v>
      </c>
      <c r="D151" s="550">
        <v>36887</v>
      </c>
      <c r="E151" s="549">
        <v>24905</v>
      </c>
      <c r="F151" s="550">
        <v>24977</v>
      </c>
      <c r="G151" s="549">
        <f t="shared" si="8"/>
        <v>86769</v>
      </c>
      <c r="H151" s="550">
        <v>87491</v>
      </c>
      <c r="I151" s="549">
        <v>83359</v>
      </c>
      <c r="J151" s="550">
        <v>77257</v>
      </c>
      <c r="K151" s="550">
        <f t="shared" si="9"/>
        <v>248107</v>
      </c>
      <c r="L151" s="549">
        <v>0</v>
      </c>
      <c r="M151" s="550">
        <v>0</v>
      </c>
      <c r="N151" s="549">
        <v>0</v>
      </c>
      <c r="O151" s="518">
        <f t="shared" si="10"/>
        <v>0</v>
      </c>
      <c r="P151" s="549">
        <v>97387</v>
      </c>
      <c r="Q151" s="550">
        <v>2541</v>
      </c>
      <c r="R151" s="549">
        <v>91233</v>
      </c>
      <c r="S151" s="550">
        <v>93774</v>
      </c>
      <c r="T151" s="556">
        <v>96.29</v>
      </c>
      <c r="U151" s="550">
        <v>1957</v>
      </c>
      <c r="V151" s="549">
        <v>2304</v>
      </c>
      <c r="W151" s="550">
        <v>95494</v>
      </c>
      <c r="X151" s="549">
        <v>10553</v>
      </c>
      <c r="Y151" s="550">
        <v>0</v>
      </c>
      <c r="Z151" s="549">
        <v>270515</v>
      </c>
      <c r="AA151" s="550">
        <v>2497</v>
      </c>
      <c r="AB151" s="549">
        <v>265821</v>
      </c>
      <c r="AC151" s="550">
        <v>268318</v>
      </c>
      <c r="AD151" s="556">
        <v>99.19</v>
      </c>
      <c r="AE151" s="550">
        <v>-1986</v>
      </c>
      <c r="AF151" s="549">
        <v>2506</v>
      </c>
      <c r="AG151" s="550">
        <v>266341</v>
      </c>
      <c r="AH151" s="549">
        <v>29103</v>
      </c>
      <c r="AI151" s="550">
        <v>287970588.63</v>
      </c>
      <c r="AJ151" s="549">
        <v>105318</v>
      </c>
      <c r="AK151" s="550">
        <v>50</v>
      </c>
      <c r="AL151" s="549">
        <v>1085.58</v>
      </c>
      <c r="AM151" s="473">
        <f t="shared" si="11"/>
        <v>114385.39344</v>
      </c>
      <c r="AN151" s="141"/>
      <c r="AO151" s="566"/>
      <c r="AP151" s="567"/>
    </row>
    <row r="152" spans="1:42">
      <c r="A152" s="471">
        <v>141</v>
      </c>
      <c r="B152" s="481" t="s">
        <v>322</v>
      </c>
      <c r="C152" s="472" t="s">
        <v>323</v>
      </c>
      <c r="D152" s="550">
        <v>12151</v>
      </c>
      <c r="E152" s="549">
        <v>12023</v>
      </c>
      <c r="F152" s="550">
        <v>11546</v>
      </c>
      <c r="G152" s="549">
        <f t="shared" si="8"/>
        <v>35720</v>
      </c>
      <c r="H152" s="550">
        <v>9529</v>
      </c>
      <c r="I152" s="549">
        <v>9188</v>
      </c>
      <c r="J152" s="550">
        <v>8661</v>
      </c>
      <c r="K152" s="550">
        <f t="shared" si="9"/>
        <v>27378</v>
      </c>
      <c r="L152" s="549">
        <v>0</v>
      </c>
      <c r="M152" s="550">
        <v>0</v>
      </c>
      <c r="N152" s="549">
        <v>0</v>
      </c>
      <c r="O152" s="518">
        <f t="shared" si="10"/>
        <v>0</v>
      </c>
      <c r="P152" s="549">
        <v>39659</v>
      </c>
      <c r="Q152" s="550">
        <v>679</v>
      </c>
      <c r="R152" s="549">
        <v>38221</v>
      </c>
      <c r="S152" s="550">
        <v>38900</v>
      </c>
      <c r="T152" s="556">
        <v>98.09</v>
      </c>
      <c r="U152" s="550">
        <v>263</v>
      </c>
      <c r="V152" s="549">
        <v>684</v>
      </c>
      <c r="W152" s="550">
        <v>39168</v>
      </c>
      <c r="X152" s="549">
        <v>4982</v>
      </c>
      <c r="Y152" s="550">
        <v>0</v>
      </c>
      <c r="Z152" s="549">
        <v>30558</v>
      </c>
      <c r="AA152" s="550">
        <v>778</v>
      </c>
      <c r="AB152" s="549">
        <v>29367</v>
      </c>
      <c r="AC152" s="550">
        <v>30145</v>
      </c>
      <c r="AD152" s="556">
        <v>98.65</v>
      </c>
      <c r="AE152" s="550">
        <v>-239</v>
      </c>
      <c r="AF152" s="549">
        <v>247</v>
      </c>
      <c r="AG152" s="550">
        <v>29375</v>
      </c>
      <c r="AH152" s="549">
        <v>2971</v>
      </c>
      <c r="AI152" s="550">
        <v>31092145.390000001</v>
      </c>
      <c r="AJ152" s="549">
        <v>31512</v>
      </c>
      <c r="AK152" s="550">
        <v>0</v>
      </c>
      <c r="AL152" s="549">
        <v>1431.9</v>
      </c>
      <c r="AM152" s="473">
        <f t="shared" si="11"/>
        <v>45122.032800000001</v>
      </c>
      <c r="AN152" s="141"/>
      <c r="AO152" s="566"/>
      <c r="AP152" s="567"/>
    </row>
    <row r="153" spans="1:42">
      <c r="A153" s="471">
        <v>142</v>
      </c>
      <c r="B153" s="481" t="s">
        <v>324</v>
      </c>
      <c r="C153" s="472" t="s">
        <v>325</v>
      </c>
      <c r="D153" s="550">
        <v>20565</v>
      </c>
      <c r="E153" s="549">
        <v>20312</v>
      </c>
      <c r="F153" s="550">
        <v>19838</v>
      </c>
      <c r="G153" s="549">
        <f t="shared" si="8"/>
        <v>60715</v>
      </c>
      <c r="H153" s="550">
        <v>13480</v>
      </c>
      <c r="I153" s="549">
        <v>12801</v>
      </c>
      <c r="J153" s="550">
        <v>11658</v>
      </c>
      <c r="K153" s="550">
        <f t="shared" si="9"/>
        <v>37939</v>
      </c>
      <c r="L153" s="549">
        <v>0</v>
      </c>
      <c r="M153" s="550">
        <v>0</v>
      </c>
      <c r="N153" s="549">
        <v>0</v>
      </c>
      <c r="O153" s="518">
        <f t="shared" si="10"/>
        <v>0</v>
      </c>
      <c r="P153" s="549">
        <v>67933</v>
      </c>
      <c r="Q153" s="550">
        <v>745</v>
      </c>
      <c r="R153" s="549">
        <v>65492</v>
      </c>
      <c r="S153" s="550">
        <v>66237</v>
      </c>
      <c r="T153" s="556">
        <v>97.5</v>
      </c>
      <c r="U153" s="550">
        <v>1003</v>
      </c>
      <c r="V153" s="549">
        <v>1044</v>
      </c>
      <c r="W153" s="550">
        <v>67539</v>
      </c>
      <c r="X153" s="549">
        <v>11053</v>
      </c>
      <c r="Y153" s="550">
        <v>0</v>
      </c>
      <c r="Z153" s="549">
        <v>40378</v>
      </c>
      <c r="AA153" s="550">
        <v>69</v>
      </c>
      <c r="AB153" s="549">
        <v>38096</v>
      </c>
      <c r="AC153" s="550">
        <v>38165</v>
      </c>
      <c r="AD153" s="556">
        <v>94.52</v>
      </c>
      <c r="AE153" s="550">
        <v>375</v>
      </c>
      <c r="AF153" s="549">
        <v>98</v>
      </c>
      <c r="AG153" s="550">
        <v>38569</v>
      </c>
      <c r="AH153" s="549">
        <v>3725</v>
      </c>
      <c r="AI153" s="550">
        <v>43366979.689999998</v>
      </c>
      <c r="AJ153" s="549">
        <v>53824.3</v>
      </c>
      <c r="AK153" s="550">
        <v>453.3</v>
      </c>
      <c r="AL153" s="549">
        <v>1504.27</v>
      </c>
      <c r="AM153" s="473">
        <f t="shared" si="11"/>
        <v>81648.165352000011</v>
      </c>
      <c r="AN153" s="141"/>
      <c r="AO153" s="566"/>
      <c r="AP153" s="567"/>
    </row>
    <row r="154" spans="1:42">
      <c r="A154" s="471">
        <v>143</v>
      </c>
      <c r="B154" s="481" t="s">
        <v>326</v>
      </c>
      <c r="C154" s="472" t="s">
        <v>327</v>
      </c>
      <c r="D154" s="550">
        <v>19724</v>
      </c>
      <c r="E154" s="549">
        <v>20372</v>
      </c>
      <c r="F154" s="550">
        <v>20324</v>
      </c>
      <c r="G154" s="549">
        <f t="shared" si="8"/>
        <v>60420</v>
      </c>
      <c r="H154" s="550">
        <v>29358</v>
      </c>
      <c r="I154" s="549">
        <v>25235</v>
      </c>
      <c r="J154" s="550">
        <v>24902</v>
      </c>
      <c r="K154" s="550">
        <f t="shared" si="9"/>
        <v>79495</v>
      </c>
      <c r="L154" s="549">
        <v>0</v>
      </c>
      <c r="M154" s="550">
        <v>0</v>
      </c>
      <c r="N154" s="549">
        <v>0</v>
      </c>
      <c r="O154" s="518">
        <f t="shared" si="10"/>
        <v>0</v>
      </c>
      <c r="P154" s="549">
        <v>69158</v>
      </c>
      <c r="Q154" s="550">
        <v>723</v>
      </c>
      <c r="R154" s="549">
        <v>65498</v>
      </c>
      <c r="S154" s="550">
        <v>66221</v>
      </c>
      <c r="T154" s="556">
        <v>95.75</v>
      </c>
      <c r="U154" s="550">
        <v>2090</v>
      </c>
      <c r="V154" s="549">
        <v>622</v>
      </c>
      <c r="W154" s="550">
        <v>68210</v>
      </c>
      <c r="X154" s="549">
        <v>11785</v>
      </c>
      <c r="Y154" s="550">
        <v>0</v>
      </c>
      <c r="Z154" s="549">
        <v>91649</v>
      </c>
      <c r="AA154" s="550">
        <v>695</v>
      </c>
      <c r="AB154" s="549">
        <v>88403</v>
      </c>
      <c r="AC154" s="550">
        <v>89098</v>
      </c>
      <c r="AD154" s="556">
        <v>97.22</v>
      </c>
      <c r="AE154" s="550">
        <v>-4527</v>
      </c>
      <c r="AF154" s="549">
        <v>265</v>
      </c>
      <c r="AG154" s="550">
        <v>84141</v>
      </c>
      <c r="AH154" s="549">
        <v>8506</v>
      </c>
      <c r="AI154" s="550">
        <v>97526737.789999992</v>
      </c>
      <c r="AJ154" s="549">
        <v>71187.8</v>
      </c>
      <c r="AK154" s="550">
        <v>0</v>
      </c>
      <c r="AL154" s="549">
        <v>1369.05</v>
      </c>
      <c r="AM154" s="473">
        <f t="shared" si="11"/>
        <v>97459.657590000003</v>
      </c>
      <c r="AN154" s="141"/>
      <c r="AO154" s="566"/>
      <c r="AP154" s="567"/>
    </row>
    <row r="155" spans="1:42">
      <c r="A155" s="471">
        <v>144</v>
      </c>
      <c r="B155" s="481" t="s">
        <v>328</v>
      </c>
      <c r="C155" s="472" t="s">
        <v>329</v>
      </c>
      <c r="D155" s="550">
        <v>28747</v>
      </c>
      <c r="E155" s="549">
        <v>28777</v>
      </c>
      <c r="F155" s="550">
        <v>28122</v>
      </c>
      <c r="G155" s="549">
        <f t="shared" si="8"/>
        <v>85646</v>
      </c>
      <c r="H155" s="550">
        <v>24064</v>
      </c>
      <c r="I155" s="549">
        <v>25865</v>
      </c>
      <c r="J155" s="550">
        <v>24173</v>
      </c>
      <c r="K155" s="550">
        <f t="shared" si="9"/>
        <v>74102</v>
      </c>
      <c r="L155" s="549">
        <v>0</v>
      </c>
      <c r="M155" s="550">
        <v>0</v>
      </c>
      <c r="N155" s="549">
        <v>0</v>
      </c>
      <c r="O155" s="518">
        <f t="shared" si="10"/>
        <v>0</v>
      </c>
      <c r="P155" s="549">
        <v>94251</v>
      </c>
      <c r="Q155" s="550">
        <v>1587</v>
      </c>
      <c r="R155" s="549">
        <v>91419</v>
      </c>
      <c r="S155" s="550">
        <v>93006</v>
      </c>
      <c r="T155" s="556">
        <v>98.68</v>
      </c>
      <c r="U155" s="550">
        <v>774</v>
      </c>
      <c r="V155" s="549">
        <v>1363</v>
      </c>
      <c r="W155" s="550">
        <v>93556</v>
      </c>
      <c r="X155" s="549">
        <v>11595</v>
      </c>
      <c r="Y155" s="550">
        <v>0</v>
      </c>
      <c r="Z155" s="549">
        <v>80497</v>
      </c>
      <c r="AA155" s="550">
        <v>933</v>
      </c>
      <c r="AB155" s="549">
        <v>78531</v>
      </c>
      <c r="AC155" s="550">
        <v>79464</v>
      </c>
      <c r="AD155" s="556">
        <v>98.72</v>
      </c>
      <c r="AE155" s="550">
        <v>-949</v>
      </c>
      <c r="AF155" s="549">
        <v>475</v>
      </c>
      <c r="AG155" s="550">
        <v>78057</v>
      </c>
      <c r="AH155" s="549">
        <v>7821</v>
      </c>
      <c r="AI155" s="550">
        <v>83614225.140000001</v>
      </c>
      <c r="AJ155" s="549">
        <v>64559</v>
      </c>
      <c r="AK155" s="550">
        <v>167.5</v>
      </c>
      <c r="AL155" s="549">
        <v>1682.65</v>
      </c>
      <c r="AM155" s="473">
        <f t="shared" si="11"/>
        <v>108912.04522500001</v>
      </c>
      <c r="AN155" s="141"/>
      <c r="AO155" s="566"/>
      <c r="AP155" s="567"/>
    </row>
    <row r="156" spans="1:42">
      <c r="A156" s="471">
        <v>145</v>
      </c>
      <c r="B156" s="481" t="s">
        <v>330</v>
      </c>
      <c r="C156" s="472" t="s">
        <v>331</v>
      </c>
      <c r="D156" s="550">
        <v>43071</v>
      </c>
      <c r="E156" s="549">
        <v>43127</v>
      </c>
      <c r="F156" s="550">
        <v>43151</v>
      </c>
      <c r="G156" s="549">
        <f t="shared" si="8"/>
        <v>129349</v>
      </c>
      <c r="H156" s="550">
        <v>33903</v>
      </c>
      <c r="I156" s="549">
        <v>28928</v>
      </c>
      <c r="J156" s="550">
        <v>26661</v>
      </c>
      <c r="K156" s="550">
        <f t="shared" si="9"/>
        <v>89492</v>
      </c>
      <c r="L156" s="549">
        <v>0</v>
      </c>
      <c r="M156" s="550">
        <v>0</v>
      </c>
      <c r="N156" s="549">
        <v>0</v>
      </c>
      <c r="O156" s="518">
        <f t="shared" si="10"/>
        <v>0</v>
      </c>
      <c r="P156" s="549">
        <v>149778</v>
      </c>
      <c r="Q156" s="550">
        <v>1651</v>
      </c>
      <c r="R156" s="549">
        <v>141741</v>
      </c>
      <c r="S156" s="550">
        <v>143392</v>
      </c>
      <c r="T156" s="556">
        <v>95.74</v>
      </c>
      <c r="U156" s="550">
        <v>3500</v>
      </c>
      <c r="V156" s="549">
        <v>1757</v>
      </c>
      <c r="W156" s="550">
        <v>146998</v>
      </c>
      <c r="X156" s="549">
        <v>27155</v>
      </c>
      <c r="Y156" s="550">
        <v>0</v>
      </c>
      <c r="Z156" s="549">
        <v>106865</v>
      </c>
      <c r="AA156" s="550">
        <v>754</v>
      </c>
      <c r="AB156" s="549">
        <v>102221</v>
      </c>
      <c r="AC156" s="550">
        <v>102975</v>
      </c>
      <c r="AD156" s="556">
        <v>96.36</v>
      </c>
      <c r="AE156" s="550">
        <v>-1192</v>
      </c>
      <c r="AF156" s="549">
        <v>687</v>
      </c>
      <c r="AG156" s="550">
        <v>101716</v>
      </c>
      <c r="AH156" s="549">
        <v>13560</v>
      </c>
      <c r="AI156" s="550">
        <v>111854544.13</v>
      </c>
      <c r="AJ156" s="549">
        <v>133210</v>
      </c>
      <c r="AK156" s="550">
        <v>0</v>
      </c>
      <c r="AL156" s="549">
        <v>1439.59</v>
      </c>
      <c r="AM156" s="473">
        <f t="shared" si="11"/>
        <v>191767.78389999998</v>
      </c>
      <c r="AN156" s="141"/>
      <c r="AO156" s="566"/>
      <c r="AP156" s="567"/>
    </row>
    <row r="157" spans="1:42">
      <c r="A157" s="471">
        <v>146</v>
      </c>
      <c r="B157" s="481" t="s">
        <v>332</v>
      </c>
      <c r="C157" s="472" t="s">
        <v>333</v>
      </c>
      <c r="D157" s="550">
        <v>13407</v>
      </c>
      <c r="E157" s="549">
        <v>13660</v>
      </c>
      <c r="F157" s="550">
        <v>12521</v>
      </c>
      <c r="G157" s="549">
        <f t="shared" si="8"/>
        <v>39588</v>
      </c>
      <c r="H157" s="550">
        <v>14442</v>
      </c>
      <c r="I157" s="549">
        <v>8862</v>
      </c>
      <c r="J157" s="550">
        <v>8727</v>
      </c>
      <c r="K157" s="550">
        <f t="shared" si="9"/>
        <v>32031</v>
      </c>
      <c r="L157" s="549">
        <v>0</v>
      </c>
      <c r="M157" s="550">
        <v>0</v>
      </c>
      <c r="N157" s="549">
        <v>0</v>
      </c>
      <c r="O157" s="518">
        <f t="shared" si="10"/>
        <v>0</v>
      </c>
      <c r="P157" s="549">
        <v>43525</v>
      </c>
      <c r="Q157" s="550">
        <v>498</v>
      </c>
      <c r="R157" s="549">
        <v>41659</v>
      </c>
      <c r="S157" s="550">
        <v>42157</v>
      </c>
      <c r="T157" s="556">
        <v>96.86</v>
      </c>
      <c r="U157" s="550">
        <v>714</v>
      </c>
      <c r="V157" s="549">
        <v>448</v>
      </c>
      <c r="W157" s="550">
        <v>42821</v>
      </c>
      <c r="X157" s="549">
        <v>5979</v>
      </c>
      <c r="Y157" s="550">
        <v>0</v>
      </c>
      <c r="Z157" s="549">
        <v>41034</v>
      </c>
      <c r="AA157" s="550">
        <v>360</v>
      </c>
      <c r="AB157" s="549">
        <v>39976</v>
      </c>
      <c r="AC157" s="550">
        <v>40336</v>
      </c>
      <c r="AD157" s="556">
        <v>98.3</v>
      </c>
      <c r="AE157" s="550">
        <v>-189</v>
      </c>
      <c r="AF157" s="549">
        <v>236</v>
      </c>
      <c r="AG157" s="550">
        <v>40023</v>
      </c>
      <c r="AH157" s="549">
        <v>4753</v>
      </c>
      <c r="AI157" s="550">
        <v>43066035.130000003</v>
      </c>
      <c r="AJ157" s="549">
        <v>43554</v>
      </c>
      <c r="AK157" s="550">
        <v>0</v>
      </c>
      <c r="AL157" s="549">
        <v>1497.31</v>
      </c>
      <c r="AM157" s="473">
        <f t="shared" si="11"/>
        <v>65213.839739999996</v>
      </c>
      <c r="AN157" s="141"/>
      <c r="AO157" s="566"/>
      <c r="AP157" s="567"/>
    </row>
    <row r="158" spans="1:42">
      <c r="A158" s="471">
        <v>147</v>
      </c>
      <c r="B158" s="481" t="s">
        <v>334</v>
      </c>
      <c r="C158" s="472" t="s">
        <v>335</v>
      </c>
      <c r="D158" s="550">
        <v>34287</v>
      </c>
      <c r="E158" s="549">
        <v>32194</v>
      </c>
      <c r="F158" s="550">
        <v>31753</v>
      </c>
      <c r="G158" s="549">
        <f t="shared" si="8"/>
        <v>98234</v>
      </c>
      <c r="H158" s="550">
        <v>39870</v>
      </c>
      <c r="I158" s="549">
        <v>35107.839999999997</v>
      </c>
      <c r="J158" s="550">
        <v>34428</v>
      </c>
      <c r="K158" s="550">
        <f t="shared" si="9"/>
        <v>109405.84</v>
      </c>
      <c r="L158" s="549">
        <v>0</v>
      </c>
      <c r="M158" s="550">
        <v>0</v>
      </c>
      <c r="N158" s="549">
        <v>0</v>
      </c>
      <c r="O158" s="518">
        <f t="shared" si="10"/>
        <v>0</v>
      </c>
      <c r="P158" s="549">
        <v>112147</v>
      </c>
      <c r="Q158" s="550">
        <v>3180</v>
      </c>
      <c r="R158" s="549">
        <v>102990</v>
      </c>
      <c r="S158" s="550">
        <v>106170</v>
      </c>
      <c r="T158" s="556">
        <v>94.67</v>
      </c>
      <c r="U158" s="550">
        <v>1870</v>
      </c>
      <c r="V158" s="549">
        <v>3919</v>
      </c>
      <c r="W158" s="550">
        <v>108779</v>
      </c>
      <c r="X158" s="549">
        <v>17180</v>
      </c>
      <c r="Y158" s="550">
        <v>0</v>
      </c>
      <c r="Z158" s="549">
        <v>118089</v>
      </c>
      <c r="AA158" s="550">
        <v>804</v>
      </c>
      <c r="AB158" s="549">
        <v>114943</v>
      </c>
      <c r="AC158" s="550">
        <v>115747</v>
      </c>
      <c r="AD158" s="556">
        <v>98.02</v>
      </c>
      <c r="AE158" s="550">
        <v>-5657</v>
      </c>
      <c r="AF158" s="549">
        <v>2063</v>
      </c>
      <c r="AG158" s="550">
        <v>111349</v>
      </c>
      <c r="AH158" s="549">
        <v>9070</v>
      </c>
      <c r="AI158" s="550">
        <v>123992472.61000001</v>
      </c>
      <c r="AJ158" s="549">
        <v>114481.5</v>
      </c>
      <c r="AK158" s="550">
        <v>0</v>
      </c>
      <c r="AL158" s="549">
        <v>1228.29</v>
      </c>
      <c r="AM158" s="473">
        <f t="shared" si="11"/>
        <v>140616.481635</v>
      </c>
      <c r="AN158" s="141"/>
      <c r="AO158" s="566"/>
      <c r="AP158" s="567"/>
    </row>
    <row r="159" spans="1:42">
      <c r="A159" s="471">
        <v>148</v>
      </c>
      <c r="B159" s="481" t="s">
        <v>336</v>
      </c>
      <c r="C159" s="472" t="s">
        <v>337</v>
      </c>
      <c r="D159" s="550">
        <v>16923</v>
      </c>
      <c r="E159" s="549">
        <v>16403</v>
      </c>
      <c r="F159" s="550">
        <v>16246</v>
      </c>
      <c r="G159" s="549">
        <f t="shared" si="8"/>
        <v>49572</v>
      </c>
      <c r="H159" s="550">
        <v>15210</v>
      </c>
      <c r="I159" s="549">
        <v>14642</v>
      </c>
      <c r="J159" s="550">
        <v>13867</v>
      </c>
      <c r="K159" s="550">
        <f t="shared" si="9"/>
        <v>43719</v>
      </c>
      <c r="L159" s="549">
        <v>0</v>
      </c>
      <c r="M159" s="550">
        <v>0</v>
      </c>
      <c r="N159" s="549">
        <v>0</v>
      </c>
      <c r="O159" s="518">
        <f t="shared" si="10"/>
        <v>0</v>
      </c>
      <c r="P159" s="549">
        <v>56857</v>
      </c>
      <c r="Q159" s="550">
        <v>496</v>
      </c>
      <c r="R159" s="549">
        <v>54694</v>
      </c>
      <c r="S159" s="550">
        <v>55190</v>
      </c>
      <c r="T159" s="556">
        <v>97.07</v>
      </c>
      <c r="U159" s="550">
        <v>916</v>
      </c>
      <c r="V159" s="549">
        <v>684</v>
      </c>
      <c r="W159" s="550">
        <v>56294</v>
      </c>
      <c r="X159" s="549">
        <v>7046</v>
      </c>
      <c r="Y159" s="550">
        <v>0</v>
      </c>
      <c r="Z159" s="549">
        <v>44660</v>
      </c>
      <c r="AA159" s="550">
        <v>375</v>
      </c>
      <c r="AB159" s="549">
        <v>43518</v>
      </c>
      <c r="AC159" s="550">
        <v>43893</v>
      </c>
      <c r="AD159" s="556">
        <v>98.28</v>
      </c>
      <c r="AE159" s="550">
        <v>-514</v>
      </c>
      <c r="AF159" s="549">
        <v>168</v>
      </c>
      <c r="AG159" s="550">
        <v>43172</v>
      </c>
      <c r="AH159" s="549">
        <v>3960</v>
      </c>
      <c r="AI159" s="550">
        <v>48871556.019999996</v>
      </c>
      <c r="AJ159" s="549">
        <v>44589.9</v>
      </c>
      <c r="AK159" s="550">
        <v>0</v>
      </c>
      <c r="AL159" s="549">
        <v>1511.77</v>
      </c>
      <c r="AM159" s="473">
        <f t="shared" si="11"/>
        <v>67409.673123</v>
      </c>
      <c r="AN159" s="141"/>
      <c r="AO159" s="566"/>
      <c r="AP159" s="567"/>
    </row>
    <row r="160" spans="1:42">
      <c r="A160" s="471">
        <v>149</v>
      </c>
      <c r="B160" s="481" t="s">
        <v>338</v>
      </c>
      <c r="C160" s="472" t="s">
        <v>339</v>
      </c>
      <c r="D160" s="550">
        <v>77899</v>
      </c>
      <c r="E160" s="549">
        <v>76584</v>
      </c>
      <c r="F160" s="550">
        <v>77069</v>
      </c>
      <c r="G160" s="549">
        <f t="shared" si="8"/>
        <v>231552</v>
      </c>
      <c r="H160" s="550">
        <v>116183</v>
      </c>
      <c r="I160" s="549">
        <v>97287</v>
      </c>
      <c r="J160" s="550">
        <v>96296</v>
      </c>
      <c r="K160" s="550">
        <f t="shared" si="9"/>
        <v>309766</v>
      </c>
      <c r="L160" s="549">
        <v>0</v>
      </c>
      <c r="M160" s="550">
        <v>0</v>
      </c>
      <c r="N160" s="549">
        <v>0</v>
      </c>
      <c r="O160" s="518">
        <f t="shared" si="10"/>
        <v>0</v>
      </c>
      <c r="P160" s="549">
        <v>263088</v>
      </c>
      <c r="Q160" s="550">
        <v>1848</v>
      </c>
      <c r="R160" s="549">
        <v>252384</v>
      </c>
      <c r="S160" s="550">
        <v>254232</v>
      </c>
      <c r="T160" s="556">
        <v>96.63</v>
      </c>
      <c r="U160" s="550">
        <v>5312</v>
      </c>
      <c r="V160" s="549">
        <v>2080</v>
      </c>
      <c r="W160" s="550">
        <v>259776</v>
      </c>
      <c r="X160" s="549">
        <v>37748</v>
      </c>
      <c r="Y160" s="550">
        <v>0</v>
      </c>
      <c r="Z160" s="549">
        <v>357432</v>
      </c>
      <c r="AA160" s="550">
        <v>6499</v>
      </c>
      <c r="AB160" s="549">
        <v>342467</v>
      </c>
      <c r="AC160" s="550">
        <v>348966</v>
      </c>
      <c r="AD160" s="556">
        <v>97.63</v>
      </c>
      <c r="AE160" s="550">
        <v>5493</v>
      </c>
      <c r="AF160" s="549">
        <v>2857</v>
      </c>
      <c r="AG160" s="550">
        <v>350817</v>
      </c>
      <c r="AH160" s="549">
        <v>50276</v>
      </c>
      <c r="AI160" s="550">
        <v>374795408.81</v>
      </c>
      <c r="AJ160" s="549">
        <v>248656</v>
      </c>
      <c r="AK160" s="550">
        <v>3</v>
      </c>
      <c r="AL160" s="549">
        <v>1323.69</v>
      </c>
      <c r="AM160" s="473">
        <f t="shared" si="11"/>
        <v>329147.43171000003</v>
      </c>
      <c r="AN160" s="141"/>
      <c r="AO160" s="566"/>
      <c r="AP160" s="567"/>
    </row>
    <row r="161" spans="1:42">
      <c r="A161" s="471">
        <v>150</v>
      </c>
      <c r="B161" s="481" t="s">
        <v>340</v>
      </c>
      <c r="C161" s="472" t="s">
        <v>341</v>
      </c>
      <c r="D161" s="550">
        <v>26152</v>
      </c>
      <c r="E161" s="549">
        <v>26538</v>
      </c>
      <c r="F161" s="550">
        <v>26741</v>
      </c>
      <c r="G161" s="549">
        <f t="shared" si="8"/>
        <v>79431</v>
      </c>
      <c r="H161" s="550">
        <v>29416</v>
      </c>
      <c r="I161" s="549">
        <v>28877</v>
      </c>
      <c r="J161" s="550">
        <v>27379</v>
      </c>
      <c r="K161" s="550">
        <f t="shared" si="9"/>
        <v>85672</v>
      </c>
      <c r="L161" s="549">
        <v>0</v>
      </c>
      <c r="M161" s="550">
        <v>0</v>
      </c>
      <c r="N161" s="549">
        <v>0</v>
      </c>
      <c r="O161" s="518">
        <f t="shared" si="10"/>
        <v>0</v>
      </c>
      <c r="P161" s="549">
        <v>87613</v>
      </c>
      <c r="Q161" s="550">
        <v>1039</v>
      </c>
      <c r="R161" s="549">
        <v>83040</v>
      </c>
      <c r="S161" s="550">
        <v>84079</v>
      </c>
      <c r="T161" s="556">
        <v>95.97</v>
      </c>
      <c r="U161" s="550">
        <v>1960</v>
      </c>
      <c r="V161" s="549">
        <v>1319</v>
      </c>
      <c r="W161" s="550">
        <v>86319</v>
      </c>
      <c r="X161" s="549">
        <v>14131</v>
      </c>
      <c r="Y161" s="550">
        <v>0</v>
      </c>
      <c r="Z161" s="549">
        <v>100202</v>
      </c>
      <c r="AA161" s="550">
        <v>1001</v>
      </c>
      <c r="AB161" s="549">
        <v>96625</v>
      </c>
      <c r="AC161" s="550">
        <v>97626</v>
      </c>
      <c r="AD161" s="556">
        <v>97.43</v>
      </c>
      <c r="AE161" s="550">
        <v>-696</v>
      </c>
      <c r="AF161" s="549">
        <v>1192</v>
      </c>
      <c r="AG161" s="550">
        <v>97121</v>
      </c>
      <c r="AH161" s="549">
        <v>11573</v>
      </c>
      <c r="AI161" s="550">
        <v>104250251.65000001</v>
      </c>
      <c r="AJ161" s="549">
        <v>83716.399999999994</v>
      </c>
      <c r="AK161" s="550">
        <v>0</v>
      </c>
      <c r="AL161" s="549">
        <v>1483.9</v>
      </c>
      <c r="AM161" s="473">
        <f t="shared" si="11"/>
        <v>124226.76595999999</v>
      </c>
      <c r="AN161" s="141"/>
      <c r="AO161" s="566"/>
      <c r="AP161" s="567"/>
    </row>
    <row r="162" spans="1:42">
      <c r="A162" s="471">
        <v>151</v>
      </c>
      <c r="B162" s="481" t="s">
        <v>342</v>
      </c>
      <c r="C162" s="472" t="s">
        <v>343</v>
      </c>
      <c r="D162" s="550">
        <v>16678</v>
      </c>
      <c r="E162" s="549">
        <v>16525</v>
      </c>
      <c r="F162" s="550">
        <v>16281</v>
      </c>
      <c r="G162" s="549">
        <f t="shared" si="8"/>
        <v>49484</v>
      </c>
      <c r="H162" s="550">
        <v>7879</v>
      </c>
      <c r="I162" s="549">
        <v>6070</v>
      </c>
      <c r="J162" s="550">
        <v>7053</v>
      </c>
      <c r="K162" s="550">
        <f t="shared" si="9"/>
        <v>21002</v>
      </c>
      <c r="L162" s="549">
        <v>0</v>
      </c>
      <c r="M162" s="550">
        <v>0</v>
      </c>
      <c r="N162" s="549">
        <v>0</v>
      </c>
      <c r="O162" s="518">
        <f t="shared" si="10"/>
        <v>0</v>
      </c>
      <c r="P162" s="549">
        <v>56345</v>
      </c>
      <c r="Q162" s="550">
        <v>805</v>
      </c>
      <c r="R162" s="549">
        <v>54673</v>
      </c>
      <c r="S162" s="550">
        <v>55478</v>
      </c>
      <c r="T162" s="556">
        <v>98.46</v>
      </c>
      <c r="U162" s="550">
        <v>471</v>
      </c>
      <c r="V162" s="549">
        <v>775</v>
      </c>
      <c r="W162" s="550">
        <v>55919</v>
      </c>
      <c r="X162" s="549">
        <v>7187</v>
      </c>
      <c r="Y162" s="550">
        <v>0</v>
      </c>
      <c r="Z162" s="549">
        <v>23367</v>
      </c>
      <c r="AA162" s="550">
        <v>155</v>
      </c>
      <c r="AB162" s="549">
        <v>22675</v>
      </c>
      <c r="AC162" s="550">
        <v>22830</v>
      </c>
      <c r="AD162" s="556">
        <v>97.7</v>
      </c>
      <c r="AE162" s="550">
        <v>-17</v>
      </c>
      <c r="AF162" s="549">
        <v>173</v>
      </c>
      <c r="AG162" s="550">
        <v>22831</v>
      </c>
      <c r="AH162" s="549">
        <v>2672</v>
      </c>
      <c r="AI162" s="550">
        <v>23648144.610000003</v>
      </c>
      <c r="AJ162" s="549">
        <v>39902</v>
      </c>
      <c r="AK162" s="550">
        <v>0</v>
      </c>
      <c r="AL162" s="549">
        <v>1645.22</v>
      </c>
      <c r="AM162" s="473">
        <f t="shared" si="11"/>
        <v>65647.568440000003</v>
      </c>
      <c r="AN162" s="141"/>
      <c r="AO162" s="566"/>
      <c r="AP162" s="567"/>
    </row>
    <row r="163" spans="1:42">
      <c r="A163" s="471">
        <v>152</v>
      </c>
      <c r="B163" s="481" t="s">
        <v>344</v>
      </c>
      <c r="C163" s="472" t="s">
        <v>345</v>
      </c>
      <c r="D163" s="550">
        <v>26938</v>
      </c>
      <c r="E163" s="549">
        <v>26211</v>
      </c>
      <c r="F163" s="550">
        <v>26320</v>
      </c>
      <c r="G163" s="549">
        <f t="shared" si="8"/>
        <v>79469</v>
      </c>
      <c r="H163" s="550">
        <v>20217</v>
      </c>
      <c r="I163" s="549">
        <v>14847.19</v>
      </c>
      <c r="J163" s="550">
        <v>12504.71</v>
      </c>
      <c r="K163" s="550">
        <f t="shared" si="9"/>
        <v>47568.9</v>
      </c>
      <c r="L163" s="549">
        <v>0</v>
      </c>
      <c r="M163" s="550">
        <v>0</v>
      </c>
      <c r="N163" s="549">
        <v>0</v>
      </c>
      <c r="O163" s="518">
        <f t="shared" si="10"/>
        <v>0</v>
      </c>
      <c r="P163" s="549">
        <v>97773</v>
      </c>
      <c r="Q163" s="550">
        <v>2519</v>
      </c>
      <c r="R163" s="549">
        <v>89558</v>
      </c>
      <c r="S163" s="550">
        <v>92077</v>
      </c>
      <c r="T163" s="556">
        <v>94.17</v>
      </c>
      <c r="U163" s="550">
        <v>2003</v>
      </c>
      <c r="V163" s="549">
        <v>3301</v>
      </c>
      <c r="W163" s="550">
        <v>94862</v>
      </c>
      <c r="X163" s="549">
        <v>21765</v>
      </c>
      <c r="Y163" s="550">
        <v>0</v>
      </c>
      <c r="Z163" s="549">
        <v>49042</v>
      </c>
      <c r="AA163" s="550">
        <v>312</v>
      </c>
      <c r="AB163" s="549">
        <v>47664</v>
      </c>
      <c r="AC163" s="550">
        <v>47976</v>
      </c>
      <c r="AD163" s="556">
        <v>97.83</v>
      </c>
      <c r="AE163" s="550">
        <v>-1683</v>
      </c>
      <c r="AF163" s="549">
        <v>467</v>
      </c>
      <c r="AG163" s="550">
        <v>46448</v>
      </c>
      <c r="AH163" s="549">
        <v>4897</v>
      </c>
      <c r="AI163" s="550">
        <v>51725336.82</v>
      </c>
      <c r="AJ163" s="549">
        <v>94197.1</v>
      </c>
      <c r="AK163" s="550">
        <v>0</v>
      </c>
      <c r="AL163" s="549">
        <v>1363.35</v>
      </c>
      <c r="AM163" s="473">
        <f t="shared" si="11"/>
        <v>128423.616285</v>
      </c>
      <c r="AN163" s="141"/>
      <c r="AO163" s="566"/>
      <c r="AP163" s="567"/>
    </row>
    <row r="164" spans="1:42">
      <c r="A164" s="471">
        <v>153</v>
      </c>
      <c r="B164" s="481" t="s">
        <v>346</v>
      </c>
      <c r="C164" s="472" t="s">
        <v>347</v>
      </c>
      <c r="D164" s="550">
        <v>15636</v>
      </c>
      <c r="E164" s="549">
        <v>15268</v>
      </c>
      <c r="F164" s="550">
        <v>15105</v>
      </c>
      <c r="G164" s="549">
        <f t="shared" si="8"/>
        <v>46009</v>
      </c>
      <c r="H164" s="550">
        <v>11276</v>
      </c>
      <c r="I164" s="549">
        <v>8599</v>
      </c>
      <c r="J164" s="550">
        <v>8865</v>
      </c>
      <c r="K164" s="550">
        <f t="shared" si="9"/>
        <v>28740</v>
      </c>
      <c r="L164" s="549">
        <v>0</v>
      </c>
      <c r="M164" s="550">
        <v>0</v>
      </c>
      <c r="N164" s="549">
        <v>0</v>
      </c>
      <c r="O164" s="518">
        <f t="shared" si="10"/>
        <v>0</v>
      </c>
      <c r="P164" s="549">
        <v>50545</v>
      </c>
      <c r="Q164" s="550">
        <v>1064</v>
      </c>
      <c r="R164" s="549">
        <v>49107</v>
      </c>
      <c r="S164" s="550">
        <v>50171</v>
      </c>
      <c r="T164" s="556">
        <v>99.26</v>
      </c>
      <c r="U164" s="550">
        <v>578</v>
      </c>
      <c r="V164" s="549">
        <v>809</v>
      </c>
      <c r="W164" s="550">
        <v>50494</v>
      </c>
      <c r="X164" s="549">
        <v>5971</v>
      </c>
      <c r="Y164" s="550">
        <v>0</v>
      </c>
      <c r="Z164" s="549">
        <v>32866</v>
      </c>
      <c r="AA164" s="550">
        <v>486</v>
      </c>
      <c r="AB164" s="549">
        <v>31858</v>
      </c>
      <c r="AC164" s="550">
        <v>32344</v>
      </c>
      <c r="AD164" s="556">
        <v>98.41</v>
      </c>
      <c r="AE164" s="550">
        <v>275</v>
      </c>
      <c r="AF164" s="549">
        <v>696</v>
      </c>
      <c r="AG164" s="550">
        <v>32829</v>
      </c>
      <c r="AH164" s="549">
        <v>3986</v>
      </c>
      <c r="AI164" s="550">
        <v>36356885.329999998</v>
      </c>
      <c r="AJ164" s="549">
        <v>38976.6</v>
      </c>
      <c r="AK164" s="550">
        <v>116.9</v>
      </c>
      <c r="AL164" s="549">
        <v>1459.59</v>
      </c>
      <c r="AM164" s="473">
        <f t="shared" si="11"/>
        <v>57060.481664999999</v>
      </c>
      <c r="AN164" s="141"/>
      <c r="AO164" s="566"/>
      <c r="AP164" s="567"/>
    </row>
    <row r="165" spans="1:42">
      <c r="A165" s="471">
        <v>154</v>
      </c>
      <c r="B165" s="481" t="s">
        <v>348</v>
      </c>
      <c r="C165" s="472" t="s">
        <v>349</v>
      </c>
      <c r="D165" s="550">
        <v>8237</v>
      </c>
      <c r="E165" s="549">
        <v>9521</v>
      </c>
      <c r="F165" s="550">
        <v>9062</v>
      </c>
      <c r="G165" s="549">
        <f t="shared" si="8"/>
        <v>26820</v>
      </c>
      <c r="H165" s="550">
        <v>13835</v>
      </c>
      <c r="I165" s="549">
        <v>11342</v>
      </c>
      <c r="J165" s="550">
        <v>11131</v>
      </c>
      <c r="K165" s="550">
        <f t="shared" si="9"/>
        <v>36308</v>
      </c>
      <c r="L165" s="549">
        <v>0</v>
      </c>
      <c r="M165" s="550">
        <v>0</v>
      </c>
      <c r="N165" s="549">
        <v>0</v>
      </c>
      <c r="O165" s="518">
        <f t="shared" si="10"/>
        <v>0</v>
      </c>
      <c r="P165" s="549">
        <v>32214</v>
      </c>
      <c r="Q165" s="550">
        <v>472</v>
      </c>
      <c r="R165" s="549">
        <v>30558</v>
      </c>
      <c r="S165" s="550">
        <v>31030</v>
      </c>
      <c r="T165" s="556">
        <v>96.32</v>
      </c>
      <c r="U165" s="550">
        <v>898</v>
      </c>
      <c r="V165" s="549">
        <v>588</v>
      </c>
      <c r="W165" s="550">
        <v>32044</v>
      </c>
      <c r="X165" s="549">
        <v>6322</v>
      </c>
      <c r="Y165" s="550">
        <v>0</v>
      </c>
      <c r="Z165" s="549">
        <v>40691</v>
      </c>
      <c r="AA165" s="550">
        <v>579</v>
      </c>
      <c r="AB165" s="549">
        <v>39738</v>
      </c>
      <c r="AC165" s="550">
        <v>40317</v>
      </c>
      <c r="AD165" s="556">
        <v>99.08</v>
      </c>
      <c r="AE165" s="550">
        <v>-406</v>
      </c>
      <c r="AF165" s="549">
        <v>284</v>
      </c>
      <c r="AG165" s="550">
        <v>39616</v>
      </c>
      <c r="AH165" s="549">
        <v>4247</v>
      </c>
      <c r="AI165" s="550">
        <v>42704691.379999995</v>
      </c>
      <c r="AJ165" s="549">
        <v>28086.799999999999</v>
      </c>
      <c r="AK165" s="550">
        <v>0</v>
      </c>
      <c r="AL165" s="549">
        <v>1496.52</v>
      </c>
      <c r="AM165" s="473">
        <f t="shared" si="11"/>
        <v>42032.457935999999</v>
      </c>
      <c r="AN165" s="141"/>
      <c r="AO165" s="566"/>
      <c r="AP165" s="567"/>
    </row>
    <row r="166" spans="1:42">
      <c r="A166" s="471">
        <v>155</v>
      </c>
      <c r="B166" s="481" t="s">
        <v>350</v>
      </c>
      <c r="C166" s="472" t="s">
        <v>351</v>
      </c>
      <c r="D166" s="550">
        <v>37832</v>
      </c>
      <c r="E166" s="549">
        <v>39370.67</v>
      </c>
      <c r="F166" s="550">
        <v>40158</v>
      </c>
      <c r="G166" s="549">
        <f t="shared" si="8"/>
        <v>117360.67</v>
      </c>
      <c r="H166" s="550">
        <v>60599</v>
      </c>
      <c r="I166" s="549">
        <v>50798.94</v>
      </c>
      <c r="J166" s="550">
        <v>51714</v>
      </c>
      <c r="K166" s="550">
        <f t="shared" si="9"/>
        <v>163111.94</v>
      </c>
      <c r="L166" s="549">
        <v>83</v>
      </c>
      <c r="M166" s="550">
        <v>104</v>
      </c>
      <c r="N166" s="549">
        <v>40</v>
      </c>
      <c r="O166" s="518">
        <f t="shared" si="10"/>
        <v>227</v>
      </c>
      <c r="P166" s="549">
        <v>134725</v>
      </c>
      <c r="Q166" s="550">
        <v>4333</v>
      </c>
      <c r="R166" s="549">
        <v>124349</v>
      </c>
      <c r="S166" s="550">
        <v>128682</v>
      </c>
      <c r="T166" s="556">
        <v>95.51</v>
      </c>
      <c r="U166" s="550">
        <v>7615</v>
      </c>
      <c r="V166" s="549">
        <v>4506</v>
      </c>
      <c r="W166" s="550">
        <v>136470</v>
      </c>
      <c r="X166" s="549">
        <v>24991</v>
      </c>
      <c r="Y166" s="550">
        <v>325</v>
      </c>
      <c r="Z166" s="549">
        <v>190128</v>
      </c>
      <c r="AA166" s="550">
        <v>1126</v>
      </c>
      <c r="AB166" s="549">
        <v>182764</v>
      </c>
      <c r="AC166" s="550">
        <v>183890</v>
      </c>
      <c r="AD166" s="556">
        <v>96.72</v>
      </c>
      <c r="AE166" s="550">
        <v>-6285</v>
      </c>
      <c r="AF166" s="549">
        <v>768</v>
      </c>
      <c r="AG166" s="550">
        <v>177247</v>
      </c>
      <c r="AH166" s="549">
        <v>18043</v>
      </c>
      <c r="AI166" s="550">
        <v>199734635.38999999</v>
      </c>
      <c r="AJ166" s="549">
        <v>134024.5</v>
      </c>
      <c r="AK166" s="550">
        <v>0</v>
      </c>
      <c r="AL166" s="549">
        <v>1553.36</v>
      </c>
      <c r="AM166" s="473">
        <f t="shared" si="11"/>
        <v>208188.29731999998</v>
      </c>
      <c r="AN166" s="141"/>
      <c r="AO166" s="566"/>
      <c r="AP166" s="567"/>
    </row>
    <row r="167" spans="1:42">
      <c r="A167" s="471">
        <v>156</v>
      </c>
      <c r="B167" s="481" t="s">
        <v>352</v>
      </c>
      <c r="C167" s="472" t="s">
        <v>353</v>
      </c>
      <c r="D167" s="550">
        <v>18726</v>
      </c>
      <c r="E167" s="549">
        <v>18428</v>
      </c>
      <c r="F167" s="550">
        <v>18721</v>
      </c>
      <c r="G167" s="549">
        <f t="shared" si="8"/>
        <v>55875</v>
      </c>
      <c r="H167" s="550">
        <v>23116</v>
      </c>
      <c r="I167" s="549">
        <v>19632</v>
      </c>
      <c r="J167" s="550">
        <v>18578</v>
      </c>
      <c r="K167" s="550">
        <f t="shared" si="9"/>
        <v>61326</v>
      </c>
      <c r="L167" s="549">
        <v>0</v>
      </c>
      <c r="M167" s="550">
        <v>0</v>
      </c>
      <c r="N167" s="549">
        <v>0</v>
      </c>
      <c r="O167" s="518">
        <f t="shared" si="10"/>
        <v>0</v>
      </c>
      <c r="P167" s="549">
        <v>64311</v>
      </c>
      <c r="Q167" s="550">
        <v>1343</v>
      </c>
      <c r="R167" s="549">
        <v>60512</v>
      </c>
      <c r="S167" s="550">
        <v>61855</v>
      </c>
      <c r="T167" s="556">
        <v>96.18</v>
      </c>
      <c r="U167" s="550">
        <v>1942</v>
      </c>
      <c r="V167" s="549">
        <v>1661</v>
      </c>
      <c r="W167" s="550">
        <v>64115</v>
      </c>
      <c r="X167" s="549">
        <v>10438</v>
      </c>
      <c r="Y167" s="550">
        <v>0</v>
      </c>
      <c r="Z167" s="549">
        <v>69141</v>
      </c>
      <c r="AA167" s="550">
        <v>377</v>
      </c>
      <c r="AB167" s="549">
        <v>66062</v>
      </c>
      <c r="AC167" s="550">
        <v>66439</v>
      </c>
      <c r="AD167" s="556">
        <v>96.09</v>
      </c>
      <c r="AE167" s="550">
        <v>-2974</v>
      </c>
      <c r="AF167" s="549">
        <v>1237</v>
      </c>
      <c r="AG167" s="550">
        <v>64325</v>
      </c>
      <c r="AH167" s="549">
        <v>6010</v>
      </c>
      <c r="AI167" s="550">
        <v>69521435.560000002</v>
      </c>
      <c r="AJ167" s="549">
        <v>68216</v>
      </c>
      <c r="AK167" s="550">
        <v>0</v>
      </c>
      <c r="AL167" s="549">
        <v>1446.16</v>
      </c>
      <c r="AM167" s="473">
        <f t="shared" si="11"/>
        <v>98651.25056</v>
      </c>
      <c r="AN167" s="141"/>
      <c r="AO167" s="566"/>
      <c r="AP167" s="567"/>
    </row>
    <row r="168" spans="1:42">
      <c r="A168" s="471">
        <v>157</v>
      </c>
      <c r="B168" s="481" t="s">
        <v>354</v>
      </c>
      <c r="C168" s="472" t="s">
        <v>355</v>
      </c>
      <c r="D168" s="550">
        <v>25190</v>
      </c>
      <c r="E168" s="549">
        <v>23976</v>
      </c>
      <c r="F168" s="550">
        <v>24066</v>
      </c>
      <c r="G168" s="549">
        <f t="shared" si="8"/>
        <v>73232</v>
      </c>
      <c r="H168" s="550">
        <v>19486</v>
      </c>
      <c r="I168" s="549">
        <v>15991</v>
      </c>
      <c r="J168" s="550">
        <v>15270</v>
      </c>
      <c r="K168" s="550">
        <f t="shared" si="9"/>
        <v>50747</v>
      </c>
      <c r="L168" s="549">
        <v>0</v>
      </c>
      <c r="M168" s="550">
        <v>0</v>
      </c>
      <c r="N168" s="549">
        <v>0</v>
      </c>
      <c r="O168" s="518">
        <f t="shared" si="10"/>
        <v>0</v>
      </c>
      <c r="P168" s="549">
        <v>81670</v>
      </c>
      <c r="Q168" s="550">
        <v>582</v>
      </c>
      <c r="R168" s="549">
        <v>79708</v>
      </c>
      <c r="S168" s="550">
        <v>80291</v>
      </c>
      <c r="T168" s="556">
        <v>98.3</v>
      </c>
      <c r="U168" s="550">
        <v>936</v>
      </c>
      <c r="V168" s="549">
        <v>620</v>
      </c>
      <c r="W168" s="550">
        <v>81264</v>
      </c>
      <c r="X168" s="549">
        <v>10160</v>
      </c>
      <c r="Y168" s="550">
        <v>0</v>
      </c>
      <c r="Z168" s="549">
        <v>56363</v>
      </c>
      <c r="AA168" s="550">
        <v>866</v>
      </c>
      <c r="AB168" s="549">
        <v>54169</v>
      </c>
      <c r="AC168" s="550">
        <v>55035</v>
      </c>
      <c r="AD168" s="556">
        <v>97.6</v>
      </c>
      <c r="AE168" s="550">
        <v>-518</v>
      </c>
      <c r="AF168" s="549">
        <v>360</v>
      </c>
      <c r="AG168" s="550">
        <v>54011</v>
      </c>
      <c r="AH168" s="549">
        <v>4892</v>
      </c>
      <c r="AI168" s="550">
        <v>58270662.109999999</v>
      </c>
      <c r="AJ168" s="549">
        <v>62024.9</v>
      </c>
      <c r="AK168" s="550">
        <v>236.6</v>
      </c>
      <c r="AL168" s="549">
        <v>1505.35</v>
      </c>
      <c r="AM168" s="473">
        <f t="shared" si="11"/>
        <v>93725.349024999989</v>
      </c>
      <c r="AN168" s="141"/>
      <c r="AO168" s="566"/>
      <c r="AP168" s="567"/>
    </row>
    <row r="169" spans="1:42">
      <c r="A169" s="471">
        <v>158</v>
      </c>
      <c r="B169" s="481" t="s">
        <v>356</v>
      </c>
      <c r="C169" s="472" t="s">
        <v>357</v>
      </c>
      <c r="D169" s="550">
        <v>10226</v>
      </c>
      <c r="E169" s="549">
        <v>9810</v>
      </c>
      <c r="F169" s="550">
        <v>10049</v>
      </c>
      <c r="G169" s="549">
        <f t="shared" si="8"/>
        <v>30085</v>
      </c>
      <c r="H169" s="550">
        <v>4267</v>
      </c>
      <c r="I169" s="549">
        <v>3616</v>
      </c>
      <c r="J169" s="550">
        <v>3714</v>
      </c>
      <c r="K169" s="550">
        <f t="shared" si="9"/>
        <v>11597</v>
      </c>
      <c r="L169" s="549">
        <v>0</v>
      </c>
      <c r="M169" s="550">
        <v>0</v>
      </c>
      <c r="N169" s="549">
        <v>0</v>
      </c>
      <c r="O169" s="518">
        <f t="shared" si="10"/>
        <v>0</v>
      </c>
      <c r="P169" s="549">
        <v>33896</v>
      </c>
      <c r="Q169" s="550">
        <v>536</v>
      </c>
      <c r="R169" s="549">
        <v>32821</v>
      </c>
      <c r="S169" s="550">
        <v>33357</v>
      </c>
      <c r="T169" s="556">
        <v>98.41</v>
      </c>
      <c r="U169" s="550">
        <v>361</v>
      </c>
      <c r="V169" s="549">
        <v>513</v>
      </c>
      <c r="W169" s="550">
        <v>33695</v>
      </c>
      <c r="X169" s="549">
        <v>4230</v>
      </c>
      <c r="Y169" s="550">
        <v>0</v>
      </c>
      <c r="Z169" s="549">
        <v>12847</v>
      </c>
      <c r="AA169" s="550">
        <v>347</v>
      </c>
      <c r="AB169" s="549">
        <v>12097</v>
      </c>
      <c r="AC169" s="550">
        <v>12444</v>
      </c>
      <c r="AD169" s="556">
        <v>96.86</v>
      </c>
      <c r="AE169" s="550">
        <v>46</v>
      </c>
      <c r="AF169" s="549">
        <v>106</v>
      </c>
      <c r="AG169" s="550">
        <v>12249</v>
      </c>
      <c r="AH169" s="549">
        <v>1479</v>
      </c>
      <c r="AI169" s="550">
        <v>13323739.48</v>
      </c>
      <c r="AJ169" s="549">
        <v>25478.7</v>
      </c>
      <c r="AK169" s="550">
        <v>0</v>
      </c>
      <c r="AL169" s="549">
        <v>1510.41</v>
      </c>
      <c r="AM169" s="473">
        <f t="shared" si="11"/>
        <v>38483.283267000006</v>
      </c>
      <c r="AN169" s="141"/>
      <c r="AO169" s="566"/>
      <c r="AP169" s="567"/>
    </row>
    <row r="170" spans="1:42">
      <c r="A170" s="471">
        <v>159</v>
      </c>
      <c r="B170" s="481" t="s">
        <v>358</v>
      </c>
      <c r="C170" s="472" t="s">
        <v>359</v>
      </c>
      <c r="D170" s="550">
        <v>12333</v>
      </c>
      <c r="E170" s="549">
        <v>12062</v>
      </c>
      <c r="F170" s="550">
        <v>11980</v>
      </c>
      <c r="G170" s="549">
        <f t="shared" si="8"/>
        <v>36375</v>
      </c>
      <c r="H170" s="550">
        <v>4656</v>
      </c>
      <c r="I170" s="549">
        <v>4461</v>
      </c>
      <c r="J170" s="550">
        <v>3987</v>
      </c>
      <c r="K170" s="550">
        <f t="shared" si="9"/>
        <v>13104</v>
      </c>
      <c r="L170" s="549">
        <v>0</v>
      </c>
      <c r="M170" s="550">
        <v>0</v>
      </c>
      <c r="N170" s="549">
        <v>0</v>
      </c>
      <c r="O170" s="518">
        <f t="shared" si="10"/>
        <v>0</v>
      </c>
      <c r="P170" s="549">
        <v>41008</v>
      </c>
      <c r="Q170" s="550">
        <v>421</v>
      </c>
      <c r="R170" s="549">
        <v>40038</v>
      </c>
      <c r="S170" s="550">
        <v>40459</v>
      </c>
      <c r="T170" s="556">
        <v>98.66</v>
      </c>
      <c r="U170" s="550">
        <v>369</v>
      </c>
      <c r="V170" s="549">
        <v>502</v>
      </c>
      <c r="W170" s="550">
        <v>40909</v>
      </c>
      <c r="X170" s="549">
        <v>5054</v>
      </c>
      <c r="Y170" s="550">
        <v>0</v>
      </c>
      <c r="Z170" s="549">
        <v>15229</v>
      </c>
      <c r="AA170" s="550">
        <v>98</v>
      </c>
      <c r="AB170" s="549">
        <v>14816</v>
      </c>
      <c r="AC170" s="550">
        <v>14914</v>
      </c>
      <c r="AD170" s="556">
        <v>97.93</v>
      </c>
      <c r="AE170" s="550">
        <v>-953</v>
      </c>
      <c r="AF170" s="549">
        <v>83</v>
      </c>
      <c r="AG170" s="550">
        <v>13946</v>
      </c>
      <c r="AH170" s="549">
        <v>1272</v>
      </c>
      <c r="AI170" s="550">
        <v>15962140.65</v>
      </c>
      <c r="AJ170" s="549">
        <v>31017.1</v>
      </c>
      <c r="AK170" s="550">
        <v>0</v>
      </c>
      <c r="AL170" s="549">
        <v>1482.46</v>
      </c>
      <c r="AM170" s="473">
        <f t="shared" si="11"/>
        <v>45981.610066000001</v>
      </c>
      <c r="AN170" s="141"/>
      <c r="AO170" s="566"/>
      <c r="AP170" s="567"/>
    </row>
    <row r="171" spans="1:42">
      <c r="A171" s="471">
        <v>160</v>
      </c>
      <c r="B171" s="481" t="s">
        <v>360</v>
      </c>
      <c r="C171" s="472" t="s">
        <v>361</v>
      </c>
      <c r="D171" s="550">
        <v>36205</v>
      </c>
      <c r="E171" s="549">
        <v>35899</v>
      </c>
      <c r="F171" s="550">
        <v>36805</v>
      </c>
      <c r="G171" s="549">
        <f t="shared" si="8"/>
        <v>108909</v>
      </c>
      <c r="H171" s="550">
        <v>100941</v>
      </c>
      <c r="I171" s="549">
        <v>88231</v>
      </c>
      <c r="J171" s="550">
        <v>85996</v>
      </c>
      <c r="K171" s="550">
        <f t="shared" si="9"/>
        <v>275168</v>
      </c>
      <c r="L171" s="549">
        <v>0</v>
      </c>
      <c r="M171" s="550">
        <v>0</v>
      </c>
      <c r="N171" s="549">
        <v>0</v>
      </c>
      <c r="O171" s="518">
        <f t="shared" si="10"/>
        <v>0</v>
      </c>
      <c r="P171" s="549">
        <v>126551</v>
      </c>
      <c r="Q171" s="550">
        <v>1931</v>
      </c>
      <c r="R171" s="549">
        <v>115681</v>
      </c>
      <c r="S171" s="550">
        <v>117612</v>
      </c>
      <c r="T171" s="556">
        <v>92.94</v>
      </c>
      <c r="U171" s="550">
        <v>5059</v>
      </c>
      <c r="V171" s="549">
        <v>2372</v>
      </c>
      <c r="W171" s="550">
        <v>123112</v>
      </c>
      <c r="X171" s="549">
        <v>25127</v>
      </c>
      <c r="Y171" s="550">
        <v>0</v>
      </c>
      <c r="Z171" s="549">
        <v>322180</v>
      </c>
      <c r="AA171" s="550">
        <v>4058</v>
      </c>
      <c r="AB171" s="549">
        <v>302786</v>
      </c>
      <c r="AC171" s="550">
        <v>306844</v>
      </c>
      <c r="AD171" s="556">
        <v>95.24</v>
      </c>
      <c r="AE171" s="550">
        <v>-7752</v>
      </c>
      <c r="AF171" s="549">
        <v>3594</v>
      </c>
      <c r="AG171" s="550">
        <v>298628</v>
      </c>
      <c r="AH171" s="549">
        <v>41822</v>
      </c>
      <c r="AI171" s="550">
        <v>342543451.92999995</v>
      </c>
      <c r="AJ171" s="549">
        <v>131193.60000000001</v>
      </c>
      <c r="AK171" s="550">
        <v>3</v>
      </c>
      <c r="AL171" s="549">
        <v>1379.24</v>
      </c>
      <c r="AM171" s="473">
        <f t="shared" si="11"/>
        <v>180951.59858400002</v>
      </c>
      <c r="AN171" s="141"/>
      <c r="AO171" s="566"/>
      <c r="AP171" s="567"/>
    </row>
    <row r="172" spans="1:42">
      <c r="A172" s="471">
        <v>161</v>
      </c>
      <c r="B172" s="481" t="s">
        <v>362</v>
      </c>
      <c r="C172" s="472" t="s">
        <v>363</v>
      </c>
      <c r="D172" s="550">
        <v>11813</v>
      </c>
      <c r="E172" s="549">
        <v>12090</v>
      </c>
      <c r="F172" s="550">
        <v>11970</v>
      </c>
      <c r="G172" s="549">
        <f t="shared" si="8"/>
        <v>35873</v>
      </c>
      <c r="H172" s="550">
        <v>9330</v>
      </c>
      <c r="I172" s="549">
        <v>8035</v>
      </c>
      <c r="J172" s="550">
        <v>7804</v>
      </c>
      <c r="K172" s="550">
        <f t="shared" si="9"/>
        <v>25169</v>
      </c>
      <c r="L172" s="549">
        <v>0</v>
      </c>
      <c r="M172" s="550">
        <v>0</v>
      </c>
      <c r="N172" s="549">
        <v>0</v>
      </c>
      <c r="O172" s="518">
        <f t="shared" si="10"/>
        <v>0</v>
      </c>
      <c r="P172" s="549">
        <v>42343</v>
      </c>
      <c r="Q172" s="550">
        <v>429</v>
      </c>
      <c r="R172" s="549">
        <v>40777</v>
      </c>
      <c r="S172" s="550">
        <v>41206</v>
      </c>
      <c r="T172" s="556">
        <v>97.31</v>
      </c>
      <c r="U172" s="550">
        <v>588</v>
      </c>
      <c r="V172" s="549">
        <v>378</v>
      </c>
      <c r="W172" s="550">
        <v>41743</v>
      </c>
      <c r="X172" s="549">
        <v>7547</v>
      </c>
      <c r="Y172" s="550">
        <v>0</v>
      </c>
      <c r="Z172" s="549">
        <v>28456</v>
      </c>
      <c r="AA172" s="550">
        <v>64</v>
      </c>
      <c r="AB172" s="549">
        <v>27885</v>
      </c>
      <c r="AC172" s="550">
        <v>27949</v>
      </c>
      <c r="AD172" s="556">
        <v>98.22</v>
      </c>
      <c r="AE172" s="550">
        <v>434</v>
      </c>
      <c r="AF172" s="549">
        <v>33</v>
      </c>
      <c r="AG172" s="550">
        <v>28352</v>
      </c>
      <c r="AH172" s="549">
        <v>4239</v>
      </c>
      <c r="AI172" s="550">
        <v>29318813.869999997</v>
      </c>
      <c r="AJ172" s="549">
        <v>32299.7</v>
      </c>
      <c r="AK172" s="550">
        <v>0</v>
      </c>
      <c r="AL172" s="549">
        <v>1619.68</v>
      </c>
      <c r="AM172" s="473">
        <f t="shared" si="11"/>
        <v>52315.178096000003</v>
      </c>
      <c r="AN172" s="141"/>
      <c r="AO172" s="566"/>
      <c r="AP172" s="567"/>
    </row>
    <row r="173" spans="1:42">
      <c r="A173" s="471">
        <v>162</v>
      </c>
      <c r="B173" s="481" t="s">
        <v>709</v>
      </c>
      <c r="C173" s="472" t="s">
        <v>364</v>
      </c>
      <c r="D173" s="550">
        <v>29367</v>
      </c>
      <c r="E173" s="549">
        <v>30245</v>
      </c>
      <c r="F173" s="550">
        <v>30365</v>
      </c>
      <c r="G173" s="549">
        <f t="shared" si="8"/>
        <v>89977</v>
      </c>
      <c r="H173" s="550">
        <v>25805</v>
      </c>
      <c r="I173" s="549">
        <v>25088</v>
      </c>
      <c r="J173" s="550">
        <v>22827</v>
      </c>
      <c r="K173" s="550">
        <f t="shared" si="9"/>
        <v>73720</v>
      </c>
      <c r="L173" s="549">
        <v>0</v>
      </c>
      <c r="M173" s="550">
        <v>0</v>
      </c>
      <c r="N173" s="549">
        <v>0</v>
      </c>
      <c r="O173" s="518">
        <f t="shared" si="10"/>
        <v>0</v>
      </c>
      <c r="P173" s="549">
        <v>99819</v>
      </c>
      <c r="Q173" s="550">
        <v>245</v>
      </c>
      <c r="R173" s="549">
        <v>95991</v>
      </c>
      <c r="S173" s="550">
        <v>96236</v>
      </c>
      <c r="T173" s="556">
        <v>96.41</v>
      </c>
      <c r="U173" s="550">
        <v>2620</v>
      </c>
      <c r="V173" s="549">
        <v>368</v>
      </c>
      <c r="W173" s="550">
        <v>98979</v>
      </c>
      <c r="X173" s="549">
        <v>13403</v>
      </c>
      <c r="Y173" s="550">
        <v>0</v>
      </c>
      <c r="Z173" s="549">
        <v>87496</v>
      </c>
      <c r="AA173" s="550">
        <v>296</v>
      </c>
      <c r="AB173" s="549">
        <v>86016</v>
      </c>
      <c r="AC173" s="550">
        <v>86312</v>
      </c>
      <c r="AD173" s="556">
        <v>98.65</v>
      </c>
      <c r="AE173" s="550">
        <v>181</v>
      </c>
      <c r="AF173" s="549">
        <v>124</v>
      </c>
      <c r="AG173" s="550">
        <v>86321</v>
      </c>
      <c r="AH173" s="549">
        <v>8087</v>
      </c>
      <c r="AI173" s="550">
        <v>91794891.219999999</v>
      </c>
      <c r="AJ173" s="549">
        <v>89930.27</v>
      </c>
      <c r="AK173" s="550">
        <v>347.18</v>
      </c>
      <c r="AL173" s="549">
        <v>1355.43</v>
      </c>
      <c r="AM173" s="473">
        <f t="shared" si="11"/>
        <v>122364.7640535</v>
      </c>
      <c r="AN173" s="141"/>
      <c r="AO173" s="566"/>
      <c r="AP173" s="567"/>
    </row>
    <row r="174" spans="1:42">
      <c r="A174" s="471">
        <v>163</v>
      </c>
      <c r="B174" s="481" t="s">
        <v>365</v>
      </c>
      <c r="C174" s="472" t="s">
        <v>366</v>
      </c>
      <c r="D174" s="550">
        <v>7529</v>
      </c>
      <c r="E174" s="549">
        <v>7441</v>
      </c>
      <c r="F174" s="550">
        <v>7502</v>
      </c>
      <c r="G174" s="549">
        <f t="shared" si="8"/>
        <v>22472</v>
      </c>
      <c r="H174" s="550">
        <v>4223</v>
      </c>
      <c r="I174" s="549">
        <v>3371</v>
      </c>
      <c r="J174" s="550">
        <v>3324</v>
      </c>
      <c r="K174" s="550">
        <f t="shared" si="9"/>
        <v>10918</v>
      </c>
      <c r="L174" s="549">
        <v>0</v>
      </c>
      <c r="M174" s="550">
        <v>0</v>
      </c>
      <c r="N174" s="549">
        <v>0</v>
      </c>
      <c r="O174" s="518">
        <f t="shared" si="10"/>
        <v>0</v>
      </c>
      <c r="P174" s="549">
        <v>25547</v>
      </c>
      <c r="Q174" s="550">
        <v>378</v>
      </c>
      <c r="R174" s="549">
        <v>24662</v>
      </c>
      <c r="S174" s="550">
        <v>25040</v>
      </c>
      <c r="T174" s="556">
        <v>98.02</v>
      </c>
      <c r="U174" s="550">
        <v>77</v>
      </c>
      <c r="V174" s="549">
        <v>310</v>
      </c>
      <c r="W174" s="550">
        <v>25049</v>
      </c>
      <c r="X174" s="549">
        <v>3227</v>
      </c>
      <c r="Y174" s="550">
        <v>0</v>
      </c>
      <c r="Z174" s="549">
        <v>12516</v>
      </c>
      <c r="AA174" s="550">
        <v>147</v>
      </c>
      <c r="AB174" s="549">
        <v>12112</v>
      </c>
      <c r="AC174" s="550">
        <v>12259</v>
      </c>
      <c r="AD174" s="556">
        <v>97.95</v>
      </c>
      <c r="AE174" s="550">
        <v>-404</v>
      </c>
      <c r="AF174" s="549">
        <v>16</v>
      </c>
      <c r="AG174" s="550">
        <v>11724</v>
      </c>
      <c r="AH174" s="549">
        <v>1202</v>
      </c>
      <c r="AI174" s="550">
        <v>13148453.49</v>
      </c>
      <c r="AJ174" s="549">
        <v>19342.5</v>
      </c>
      <c r="AK174" s="550">
        <v>34.9</v>
      </c>
      <c r="AL174" s="549">
        <v>1500.41</v>
      </c>
      <c r="AM174" s="473">
        <f t="shared" si="11"/>
        <v>29074.044734000006</v>
      </c>
      <c r="AN174" s="141"/>
      <c r="AO174" s="566"/>
      <c r="AP174" s="567"/>
    </row>
    <row r="175" spans="1:42">
      <c r="A175" s="471">
        <v>164</v>
      </c>
      <c r="B175" s="481" t="s">
        <v>367</v>
      </c>
      <c r="C175" s="472" t="s">
        <v>368</v>
      </c>
      <c r="D175" s="550">
        <v>16432</v>
      </c>
      <c r="E175" s="549">
        <v>16388</v>
      </c>
      <c r="F175" s="550">
        <v>16165</v>
      </c>
      <c r="G175" s="549">
        <f t="shared" si="8"/>
        <v>48985</v>
      </c>
      <c r="H175" s="550">
        <v>9663</v>
      </c>
      <c r="I175" s="549">
        <v>10014</v>
      </c>
      <c r="J175" s="550">
        <v>9785</v>
      </c>
      <c r="K175" s="550">
        <f t="shared" si="9"/>
        <v>29462</v>
      </c>
      <c r="L175" s="549">
        <v>0</v>
      </c>
      <c r="M175" s="550">
        <v>0</v>
      </c>
      <c r="N175" s="549">
        <v>0</v>
      </c>
      <c r="O175" s="518">
        <f t="shared" si="10"/>
        <v>0</v>
      </c>
      <c r="P175" s="549">
        <v>54014</v>
      </c>
      <c r="Q175" s="550">
        <v>699</v>
      </c>
      <c r="R175" s="549">
        <v>52427</v>
      </c>
      <c r="S175" s="550">
        <v>53126</v>
      </c>
      <c r="T175" s="556">
        <v>98.36</v>
      </c>
      <c r="U175" s="550">
        <v>518</v>
      </c>
      <c r="V175" s="549">
        <v>754</v>
      </c>
      <c r="W175" s="550">
        <v>53699</v>
      </c>
      <c r="X175" s="549">
        <v>6981</v>
      </c>
      <c r="Y175" s="550">
        <v>0</v>
      </c>
      <c r="Z175" s="549">
        <v>30196</v>
      </c>
      <c r="AA175" s="550">
        <v>367</v>
      </c>
      <c r="AB175" s="549">
        <v>29556</v>
      </c>
      <c r="AC175" s="550">
        <v>29923</v>
      </c>
      <c r="AD175" s="556">
        <v>99.1</v>
      </c>
      <c r="AE175" s="550">
        <v>-846</v>
      </c>
      <c r="AF175" s="549">
        <v>473</v>
      </c>
      <c r="AG175" s="550">
        <v>29183</v>
      </c>
      <c r="AH175" s="549">
        <v>3404</v>
      </c>
      <c r="AI175" s="550">
        <v>31883657.48</v>
      </c>
      <c r="AJ175" s="549">
        <v>0</v>
      </c>
      <c r="AK175" s="550">
        <v>0</v>
      </c>
      <c r="AL175" s="549">
        <v>1485.36</v>
      </c>
      <c r="AM175" s="473">
        <f t="shared" si="11"/>
        <v>0</v>
      </c>
      <c r="AN175" s="141"/>
      <c r="AO175" s="566"/>
      <c r="AP175" s="567"/>
    </row>
    <row r="176" spans="1:42">
      <c r="A176" s="471">
        <v>165</v>
      </c>
      <c r="B176" s="481" t="s">
        <v>369</v>
      </c>
      <c r="C176" s="472" t="s">
        <v>370</v>
      </c>
      <c r="D176" s="550">
        <v>29453</v>
      </c>
      <c r="E176" s="549">
        <v>28442</v>
      </c>
      <c r="F176" s="550">
        <v>28123</v>
      </c>
      <c r="G176" s="549">
        <f t="shared" si="8"/>
        <v>86018</v>
      </c>
      <c r="H176" s="550">
        <v>27883</v>
      </c>
      <c r="I176" s="549">
        <v>25131</v>
      </c>
      <c r="J176" s="550">
        <v>24749</v>
      </c>
      <c r="K176" s="550">
        <f t="shared" si="9"/>
        <v>77763</v>
      </c>
      <c r="L176" s="549">
        <v>0</v>
      </c>
      <c r="M176" s="550">
        <v>0</v>
      </c>
      <c r="N176" s="549">
        <v>0</v>
      </c>
      <c r="O176" s="518">
        <f t="shared" si="10"/>
        <v>0</v>
      </c>
      <c r="P176" s="549">
        <v>96996</v>
      </c>
      <c r="Q176" s="550">
        <v>1038</v>
      </c>
      <c r="R176" s="549">
        <v>92952</v>
      </c>
      <c r="S176" s="550">
        <v>93990</v>
      </c>
      <c r="T176" s="556">
        <v>96.9</v>
      </c>
      <c r="U176" s="550">
        <v>1664</v>
      </c>
      <c r="V176" s="549">
        <v>1109</v>
      </c>
      <c r="W176" s="550">
        <v>95725</v>
      </c>
      <c r="X176" s="549">
        <v>6937</v>
      </c>
      <c r="Y176" s="550">
        <v>0</v>
      </c>
      <c r="Z176" s="549">
        <v>83499</v>
      </c>
      <c r="AA176" s="550">
        <v>408</v>
      </c>
      <c r="AB176" s="549">
        <v>79442</v>
      </c>
      <c r="AC176" s="550">
        <v>79850</v>
      </c>
      <c r="AD176" s="556">
        <v>95.63</v>
      </c>
      <c r="AE176" s="550">
        <v>-1528</v>
      </c>
      <c r="AF176" s="549">
        <v>153</v>
      </c>
      <c r="AG176" s="550">
        <v>78067</v>
      </c>
      <c r="AH176" s="549">
        <v>3822</v>
      </c>
      <c r="AI176" s="550">
        <v>86646207.5</v>
      </c>
      <c r="AJ176" s="549">
        <v>79392.399999999994</v>
      </c>
      <c r="AK176" s="550">
        <v>5.3</v>
      </c>
      <c r="AL176" s="549">
        <v>1409.56</v>
      </c>
      <c r="AM176" s="473">
        <f t="shared" si="11"/>
        <v>111915.82201199999</v>
      </c>
      <c r="AN176" s="141"/>
      <c r="AO176" s="566"/>
      <c r="AP176" s="567"/>
    </row>
    <row r="177" spans="1:42">
      <c r="A177" s="471">
        <v>166</v>
      </c>
      <c r="B177" s="481" t="s">
        <v>371</v>
      </c>
      <c r="C177" s="472" t="s">
        <v>372</v>
      </c>
      <c r="D177" s="550">
        <v>12366</v>
      </c>
      <c r="E177" s="549">
        <v>11644</v>
      </c>
      <c r="F177" s="550">
        <v>11442</v>
      </c>
      <c r="G177" s="549">
        <f t="shared" si="8"/>
        <v>35452</v>
      </c>
      <c r="H177" s="550">
        <v>4109</v>
      </c>
      <c r="I177" s="549">
        <v>4468</v>
      </c>
      <c r="J177" s="550">
        <v>3521</v>
      </c>
      <c r="K177" s="550">
        <f t="shared" si="9"/>
        <v>12098</v>
      </c>
      <c r="L177" s="549">
        <v>0</v>
      </c>
      <c r="M177" s="550">
        <v>0</v>
      </c>
      <c r="N177" s="549">
        <v>0</v>
      </c>
      <c r="O177" s="518">
        <f t="shared" si="10"/>
        <v>0</v>
      </c>
      <c r="P177" s="549">
        <v>40503</v>
      </c>
      <c r="Q177" s="550">
        <v>444</v>
      </c>
      <c r="R177" s="549">
        <v>39295</v>
      </c>
      <c r="S177" s="550">
        <v>39739</v>
      </c>
      <c r="T177" s="556">
        <v>98.11</v>
      </c>
      <c r="U177" s="550">
        <v>444</v>
      </c>
      <c r="V177" s="549">
        <v>413</v>
      </c>
      <c r="W177" s="550">
        <v>40152</v>
      </c>
      <c r="X177" s="549">
        <v>5726</v>
      </c>
      <c r="Y177" s="550">
        <v>0</v>
      </c>
      <c r="Z177" s="549">
        <v>14030</v>
      </c>
      <c r="AA177" s="550">
        <v>34</v>
      </c>
      <c r="AB177" s="549">
        <v>13655</v>
      </c>
      <c r="AC177" s="550">
        <v>13689</v>
      </c>
      <c r="AD177" s="556">
        <v>97.57</v>
      </c>
      <c r="AE177" s="550">
        <v>34</v>
      </c>
      <c r="AF177" s="549">
        <v>56</v>
      </c>
      <c r="AG177" s="550">
        <v>13745</v>
      </c>
      <c r="AH177" s="549">
        <v>1947</v>
      </c>
      <c r="AI177" s="550">
        <v>14908555.799999999</v>
      </c>
      <c r="AJ177" s="549">
        <v>29602.7</v>
      </c>
      <c r="AK177" s="550">
        <v>0</v>
      </c>
      <c r="AL177" s="549">
        <v>1573.08</v>
      </c>
      <c r="AM177" s="473">
        <f t="shared" si="11"/>
        <v>46567.415315999999</v>
      </c>
      <c r="AN177" s="141"/>
      <c r="AO177" s="566"/>
      <c r="AP177" s="567"/>
    </row>
    <row r="178" spans="1:42">
      <c r="A178" s="471">
        <v>167</v>
      </c>
      <c r="B178" s="481" t="s">
        <v>373</v>
      </c>
      <c r="C178" s="472" t="s">
        <v>374</v>
      </c>
      <c r="D178" s="550">
        <v>17179</v>
      </c>
      <c r="E178" s="549">
        <v>14681</v>
      </c>
      <c r="F178" s="550">
        <v>14497</v>
      </c>
      <c r="G178" s="549">
        <f t="shared" si="8"/>
        <v>46357</v>
      </c>
      <c r="H178" s="550">
        <v>6959</v>
      </c>
      <c r="I178" s="549">
        <v>6529</v>
      </c>
      <c r="J178" s="550">
        <v>5390</v>
      </c>
      <c r="K178" s="550">
        <f t="shared" si="9"/>
        <v>18878</v>
      </c>
      <c r="L178" s="549">
        <v>0</v>
      </c>
      <c r="M178" s="550">
        <v>0</v>
      </c>
      <c r="N178" s="549">
        <v>0</v>
      </c>
      <c r="O178" s="518">
        <f t="shared" si="10"/>
        <v>0</v>
      </c>
      <c r="P178" s="549">
        <v>49802</v>
      </c>
      <c r="Q178" s="550">
        <v>1824</v>
      </c>
      <c r="R178" s="549">
        <v>46889</v>
      </c>
      <c r="S178" s="550">
        <v>48713</v>
      </c>
      <c r="T178" s="556">
        <v>97.81</v>
      </c>
      <c r="U178" s="550">
        <v>814</v>
      </c>
      <c r="V178" s="549">
        <v>426</v>
      </c>
      <c r="W178" s="550">
        <v>48129</v>
      </c>
      <c r="X178" s="549">
        <v>5563</v>
      </c>
      <c r="Y178" s="550">
        <v>0</v>
      </c>
      <c r="Z178" s="549">
        <v>20689</v>
      </c>
      <c r="AA178" s="550">
        <v>131</v>
      </c>
      <c r="AB178" s="549">
        <v>19929</v>
      </c>
      <c r="AC178" s="550">
        <v>20060</v>
      </c>
      <c r="AD178" s="556">
        <v>96.96</v>
      </c>
      <c r="AE178" s="550">
        <v>371</v>
      </c>
      <c r="AF178" s="549">
        <v>46</v>
      </c>
      <c r="AG178" s="550">
        <v>20346</v>
      </c>
      <c r="AH178" s="549">
        <v>2685</v>
      </c>
      <c r="AI178" s="550">
        <v>21473215.390000001</v>
      </c>
      <c r="AJ178" s="549">
        <v>36940</v>
      </c>
      <c r="AK178" s="550">
        <v>220</v>
      </c>
      <c r="AL178" s="549">
        <v>1503.15</v>
      </c>
      <c r="AM178" s="473">
        <f t="shared" si="11"/>
        <v>55857.053999999996</v>
      </c>
      <c r="AN178" s="141"/>
      <c r="AO178" s="566"/>
      <c r="AP178" s="567"/>
    </row>
    <row r="179" spans="1:42">
      <c r="A179" s="471">
        <v>168</v>
      </c>
      <c r="B179" s="481" t="s">
        <v>375</v>
      </c>
      <c r="C179" s="472" t="s">
        <v>376</v>
      </c>
      <c r="D179" s="550">
        <v>24652</v>
      </c>
      <c r="E179" s="549">
        <v>23912</v>
      </c>
      <c r="F179" s="550">
        <v>24313</v>
      </c>
      <c r="G179" s="549">
        <f t="shared" si="8"/>
        <v>72877</v>
      </c>
      <c r="H179" s="550">
        <v>12996</v>
      </c>
      <c r="I179" s="549">
        <v>12778</v>
      </c>
      <c r="J179" s="550">
        <v>10984</v>
      </c>
      <c r="K179" s="550">
        <f t="shared" si="9"/>
        <v>36758</v>
      </c>
      <c r="L179" s="549">
        <v>0</v>
      </c>
      <c r="M179" s="550">
        <v>0</v>
      </c>
      <c r="N179" s="549">
        <v>0</v>
      </c>
      <c r="O179" s="518">
        <f t="shared" si="10"/>
        <v>0</v>
      </c>
      <c r="P179" s="549">
        <v>81932</v>
      </c>
      <c r="Q179" s="550">
        <v>1310</v>
      </c>
      <c r="R179" s="549">
        <v>79409</v>
      </c>
      <c r="S179" s="550">
        <v>80719</v>
      </c>
      <c r="T179" s="556">
        <v>98.52</v>
      </c>
      <c r="U179" s="550">
        <v>664</v>
      </c>
      <c r="V179" s="549">
        <v>1158</v>
      </c>
      <c r="W179" s="550">
        <v>81231</v>
      </c>
      <c r="X179" s="549">
        <v>10501</v>
      </c>
      <c r="Y179" s="550">
        <v>0</v>
      </c>
      <c r="Z179" s="549">
        <v>41309</v>
      </c>
      <c r="AA179" s="550">
        <v>628</v>
      </c>
      <c r="AB179" s="549">
        <v>39463</v>
      </c>
      <c r="AC179" s="550">
        <v>40091</v>
      </c>
      <c r="AD179" s="556">
        <v>97.05</v>
      </c>
      <c r="AE179" s="550">
        <v>-430</v>
      </c>
      <c r="AF179" s="549">
        <v>1004</v>
      </c>
      <c r="AG179" s="550">
        <v>40037</v>
      </c>
      <c r="AH179" s="549">
        <v>4242</v>
      </c>
      <c r="AI179" s="550">
        <v>41975939.270000003</v>
      </c>
      <c r="AJ179" s="549">
        <v>59310.6</v>
      </c>
      <c r="AK179" s="550">
        <v>0</v>
      </c>
      <c r="AL179" s="549">
        <v>1507.87</v>
      </c>
      <c r="AM179" s="473">
        <f t="shared" si="11"/>
        <v>89432.674421999996</v>
      </c>
      <c r="AN179" s="141"/>
      <c r="AO179" s="566"/>
      <c r="AP179" s="567"/>
    </row>
    <row r="180" spans="1:42">
      <c r="A180" s="471">
        <v>169</v>
      </c>
      <c r="B180" s="481" t="s">
        <v>377</v>
      </c>
      <c r="C180" s="472" t="s">
        <v>378</v>
      </c>
      <c r="D180" s="550">
        <v>14854</v>
      </c>
      <c r="E180" s="549">
        <v>13894</v>
      </c>
      <c r="F180" s="550">
        <v>13804</v>
      </c>
      <c r="G180" s="549">
        <f t="shared" si="8"/>
        <v>42552</v>
      </c>
      <c r="H180" s="550">
        <v>11463</v>
      </c>
      <c r="I180" s="549">
        <v>12136</v>
      </c>
      <c r="J180" s="550">
        <v>11393</v>
      </c>
      <c r="K180" s="550">
        <f t="shared" si="9"/>
        <v>34992</v>
      </c>
      <c r="L180" s="549">
        <v>0</v>
      </c>
      <c r="M180" s="550">
        <v>0</v>
      </c>
      <c r="N180" s="549">
        <v>0</v>
      </c>
      <c r="O180" s="518">
        <f t="shared" si="10"/>
        <v>0</v>
      </c>
      <c r="P180" s="549">
        <v>44919</v>
      </c>
      <c r="Q180" s="550">
        <v>1132</v>
      </c>
      <c r="R180" s="549">
        <v>41966</v>
      </c>
      <c r="S180" s="550">
        <v>43098</v>
      </c>
      <c r="T180" s="556">
        <v>95.95</v>
      </c>
      <c r="U180" s="550">
        <v>2441</v>
      </c>
      <c r="V180" s="549">
        <v>372</v>
      </c>
      <c r="W180" s="550">
        <v>44779</v>
      </c>
      <c r="X180" s="549">
        <v>5391</v>
      </c>
      <c r="Y180" s="550">
        <v>0</v>
      </c>
      <c r="Z180" s="549">
        <v>40547</v>
      </c>
      <c r="AA180" s="550">
        <v>676</v>
      </c>
      <c r="AB180" s="549">
        <v>39396</v>
      </c>
      <c r="AC180" s="550">
        <v>40072</v>
      </c>
      <c r="AD180" s="556">
        <v>98.83</v>
      </c>
      <c r="AE180" s="550">
        <v>-624</v>
      </c>
      <c r="AF180" s="549">
        <v>153</v>
      </c>
      <c r="AG180" s="550">
        <v>38925</v>
      </c>
      <c r="AH180" s="549">
        <v>4573</v>
      </c>
      <c r="AI180" s="550">
        <v>42736799.229999997</v>
      </c>
      <c r="AJ180" s="549">
        <v>40715.300000000003</v>
      </c>
      <c r="AK180" s="550">
        <v>0</v>
      </c>
      <c r="AL180" s="549">
        <v>1597.23</v>
      </c>
      <c r="AM180" s="473">
        <f t="shared" si="11"/>
        <v>65031.698619000003</v>
      </c>
      <c r="AN180" s="141"/>
      <c r="AO180" s="566"/>
      <c r="AP180" s="567"/>
    </row>
    <row r="181" spans="1:42">
      <c r="A181" s="471">
        <v>170</v>
      </c>
      <c r="B181" s="481" t="s">
        <v>379</v>
      </c>
      <c r="C181" s="472" t="s">
        <v>380</v>
      </c>
      <c r="D181" s="550">
        <v>32779</v>
      </c>
      <c r="E181" s="549">
        <v>35912</v>
      </c>
      <c r="F181" s="550">
        <v>26633</v>
      </c>
      <c r="G181" s="549">
        <f t="shared" si="8"/>
        <v>95324</v>
      </c>
      <c r="H181" s="550">
        <v>48454</v>
      </c>
      <c r="I181" s="549">
        <v>51156</v>
      </c>
      <c r="J181" s="550">
        <v>34494</v>
      </c>
      <c r="K181" s="550">
        <f t="shared" si="9"/>
        <v>134104</v>
      </c>
      <c r="L181" s="549">
        <v>0</v>
      </c>
      <c r="M181" s="550">
        <v>0</v>
      </c>
      <c r="N181" s="549">
        <v>0</v>
      </c>
      <c r="O181" s="518">
        <f t="shared" si="10"/>
        <v>0</v>
      </c>
      <c r="P181" s="549">
        <v>102759</v>
      </c>
      <c r="Q181" s="550">
        <v>971</v>
      </c>
      <c r="R181" s="549">
        <v>99824</v>
      </c>
      <c r="S181" s="550">
        <v>100795</v>
      </c>
      <c r="T181" s="556">
        <v>98.09</v>
      </c>
      <c r="U181" s="550">
        <v>1244</v>
      </c>
      <c r="V181" s="549">
        <v>992</v>
      </c>
      <c r="W181" s="550">
        <v>102060</v>
      </c>
      <c r="X181" s="549">
        <v>12139</v>
      </c>
      <c r="Y181" s="550">
        <v>0</v>
      </c>
      <c r="Z181" s="549">
        <v>146936</v>
      </c>
      <c r="AA181" s="550">
        <v>623</v>
      </c>
      <c r="AB181" s="549">
        <v>142158</v>
      </c>
      <c r="AC181" s="550">
        <v>142781</v>
      </c>
      <c r="AD181" s="556">
        <v>97.17</v>
      </c>
      <c r="AE181" s="550">
        <v>12</v>
      </c>
      <c r="AF181" s="549">
        <v>786</v>
      </c>
      <c r="AG181" s="550">
        <v>142956</v>
      </c>
      <c r="AH181" s="549">
        <v>13304</v>
      </c>
      <c r="AI181" s="550">
        <v>148848710.38</v>
      </c>
      <c r="AJ181" s="549">
        <v>86235.28</v>
      </c>
      <c r="AK181" s="550">
        <v>0</v>
      </c>
      <c r="AL181" s="549">
        <v>1417.48</v>
      </c>
      <c r="AM181" s="473">
        <f t="shared" si="11"/>
        <v>122236.7846944</v>
      </c>
      <c r="AN181" s="141"/>
      <c r="AO181" s="566"/>
      <c r="AP181" s="567"/>
    </row>
    <row r="182" spans="1:42">
      <c r="A182" s="471">
        <v>171</v>
      </c>
      <c r="B182" s="481" t="s">
        <v>381</v>
      </c>
      <c r="C182" s="472" t="s">
        <v>382</v>
      </c>
      <c r="D182" s="550">
        <v>18535</v>
      </c>
      <c r="E182" s="549">
        <v>16918</v>
      </c>
      <c r="F182" s="550">
        <v>17945</v>
      </c>
      <c r="G182" s="549">
        <f t="shared" si="8"/>
        <v>53398</v>
      </c>
      <c r="H182" s="550">
        <v>10771</v>
      </c>
      <c r="I182" s="549">
        <v>10853</v>
      </c>
      <c r="J182" s="550">
        <v>9103</v>
      </c>
      <c r="K182" s="550">
        <f t="shared" si="9"/>
        <v>30727</v>
      </c>
      <c r="L182" s="549">
        <v>0</v>
      </c>
      <c r="M182" s="550">
        <v>0</v>
      </c>
      <c r="N182" s="549">
        <v>0</v>
      </c>
      <c r="O182" s="518">
        <f t="shared" si="10"/>
        <v>0</v>
      </c>
      <c r="P182" s="549">
        <v>58449</v>
      </c>
      <c r="Q182" s="550">
        <v>568</v>
      </c>
      <c r="R182" s="549">
        <v>57293</v>
      </c>
      <c r="S182" s="550">
        <v>57861</v>
      </c>
      <c r="T182" s="556">
        <v>98.99</v>
      </c>
      <c r="U182" s="550">
        <v>263</v>
      </c>
      <c r="V182" s="549">
        <v>572</v>
      </c>
      <c r="W182" s="550">
        <v>58128</v>
      </c>
      <c r="X182" s="549">
        <v>6505</v>
      </c>
      <c r="Y182" s="550">
        <v>0</v>
      </c>
      <c r="Z182" s="549">
        <v>36527</v>
      </c>
      <c r="AA182" s="550">
        <v>1355</v>
      </c>
      <c r="AB182" s="549">
        <v>34737</v>
      </c>
      <c r="AC182" s="550">
        <v>36092</v>
      </c>
      <c r="AD182" s="556">
        <v>98.81</v>
      </c>
      <c r="AE182" s="550">
        <v>-639</v>
      </c>
      <c r="AF182" s="549">
        <v>2348</v>
      </c>
      <c r="AG182" s="550">
        <v>36446</v>
      </c>
      <c r="AH182" s="549">
        <v>5065</v>
      </c>
      <c r="AI182" s="550">
        <v>37860276.489999995</v>
      </c>
      <c r="AJ182" s="549">
        <v>41768.9</v>
      </c>
      <c r="AK182" s="550">
        <v>0</v>
      </c>
      <c r="AL182" s="549">
        <v>1538.9</v>
      </c>
      <c r="AM182" s="473">
        <f t="shared" si="11"/>
        <v>64278.160210000009</v>
      </c>
      <c r="AN182" s="141"/>
      <c r="AO182" s="566"/>
      <c r="AP182" s="567"/>
    </row>
    <row r="183" spans="1:42">
      <c r="A183" s="471">
        <v>172</v>
      </c>
      <c r="B183" s="481" t="s">
        <v>383</v>
      </c>
      <c r="C183" s="472" t="s">
        <v>384</v>
      </c>
      <c r="D183" s="550">
        <v>30251</v>
      </c>
      <c r="E183" s="549">
        <v>29636</v>
      </c>
      <c r="F183" s="550">
        <v>29030</v>
      </c>
      <c r="G183" s="549">
        <f t="shared" si="8"/>
        <v>88917</v>
      </c>
      <c r="H183" s="550">
        <v>20470</v>
      </c>
      <c r="I183" s="549">
        <v>19263</v>
      </c>
      <c r="J183" s="550">
        <v>18784</v>
      </c>
      <c r="K183" s="550">
        <f t="shared" si="9"/>
        <v>58517</v>
      </c>
      <c r="L183" s="549">
        <v>0</v>
      </c>
      <c r="M183" s="550">
        <v>0</v>
      </c>
      <c r="N183" s="549">
        <v>0</v>
      </c>
      <c r="O183" s="518">
        <f t="shared" si="10"/>
        <v>0</v>
      </c>
      <c r="P183" s="549">
        <v>99324</v>
      </c>
      <c r="Q183" s="550">
        <v>1272</v>
      </c>
      <c r="R183" s="549">
        <v>97436</v>
      </c>
      <c r="S183" s="550">
        <v>98708</v>
      </c>
      <c r="T183" s="556">
        <v>99.38</v>
      </c>
      <c r="U183" s="550">
        <v>510</v>
      </c>
      <c r="V183" s="549">
        <v>939</v>
      </c>
      <c r="W183" s="550">
        <v>98885</v>
      </c>
      <c r="X183" s="549">
        <v>11807</v>
      </c>
      <c r="Y183" s="550">
        <v>0</v>
      </c>
      <c r="Z183" s="549">
        <v>59590</v>
      </c>
      <c r="AA183" s="550">
        <v>1759</v>
      </c>
      <c r="AB183" s="549">
        <v>56877</v>
      </c>
      <c r="AC183" s="550">
        <v>58636</v>
      </c>
      <c r="AD183" s="556">
        <v>98.4</v>
      </c>
      <c r="AE183" s="550">
        <v>1299</v>
      </c>
      <c r="AF183" s="549">
        <v>205</v>
      </c>
      <c r="AG183" s="550">
        <v>58381</v>
      </c>
      <c r="AH183" s="549">
        <v>5546</v>
      </c>
      <c r="AI183" s="550">
        <v>64557382.200000003</v>
      </c>
      <c r="AJ183" s="549">
        <v>75379.3</v>
      </c>
      <c r="AK183" s="550">
        <v>218.7</v>
      </c>
      <c r="AL183" s="549">
        <v>1471.75</v>
      </c>
      <c r="AM183" s="473">
        <f t="shared" si="11"/>
        <v>111261.35649999999</v>
      </c>
      <c r="AN183" s="141"/>
      <c r="AO183" s="566"/>
      <c r="AP183" s="567"/>
    </row>
    <row r="184" spans="1:42">
      <c r="A184" s="471">
        <v>173</v>
      </c>
      <c r="B184" s="481" t="s">
        <v>385</v>
      </c>
      <c r="C184" s="472" t="s">
        <v>386</v>
      </c>
      <c r="D184" s="550">
        <v>15612</v>
      </c>
      <c r="E184" s="549">
        <v>16933</v>
      </c>
      <c r="F184" s="550">
        <v>17290</v>
      </c>
      <c r="G184" s="549">
        <f t="shared" si="8"/>
        <v>49835</v>
      </c>
      <c r="H184" s="550">
        <v>11825</v>
      </c>
      <c r="I184" s="549">
        <v>10709</v>
      </c>
      <c r="J184" s="550">
        <v>11137</v>
      </c>
      <c r="K184" s="550">
        <f t="shared" si="9"/>
        <v>33671</v>
      </c>
      <c r="L184" s="549">
        <v>0</v>
      </c>
      <c r="M184" s="550">
        <v>0</v>
      </c>
      <c r="N184" s="549">
        <v>0</v>
      </c>
      <c r="O184" s="518">
        <f t="shared" si="10"/>
        <v>0</v>
      </c>
      <c r="P184" s="549">
        <v>57614</v>
      </c>
      <c r="Q184" s="550">
        <v>486</v>
      </c>
      <c r="R184" s="549">
        <v>55917</v>
      </c>
      <c r="S184" s="550">
        <v>56403</v>
      </c>
      <c r="T184" s="556">
        <v>97.9</v>
      </c>
      <c r="U184" s="550">
        <v>1189</v>
      </c>
      <c r="V184" s="549">
        <v>431</v>
      </c>
      <c r="W184" s="550">
        <v>57537</v>
      </c>
      <c r="X184" s="549">
        <v>9549</v>
      </c>
      <c r="Y184" s="550">
        <v>0</v>
      </c>
      <c r="Z184" s="549">
        <v>37898</v>
      </c>
      <c r="AA184" s="550">
        <v>93</v>
      </c>
      <c r="AB184" s="549">
        <v>37120</v>
      </c>
      <c r="AC184" s="550">
        <v>37213</v>
      </c>
      <c r="AD184" s="556">
        <v>98.19</v>
      </c>
      <c r="AE184" s="550">
        <v>-1147</v>
      </c>
      <c r="AF184" s="549">
        <v>45</v>
      </c>
      <c r="AG184" s="550">
        <v>36018</v>
      </c>
      <c r="AH184" s="549">
        <v>3385</v>
      </c>
      <c r="AI184" s="550">
        <v>39258979.379999995</v>
      </c>
      <c r="AJ184" s="549">
        <v>39914.400000000001</v>
      </c>
      <c r="AK184" s="550">
        <v>0</v>
      </c>
      <c r="AL184" s="549">
        <v>1657.39</v>
      </c>
      <c r="AM184" s="473">
        <f t="shared" si="11"/>
        <v>66153.727416000009</v>
      </c>
      <c r="AN184" s="141"/>
      <c r="AO184" s="566"/>
      <c r="AP184" s="567"/>
    </row>
    <row r="185" spans="1:42">
      <c r="A185" s="471">
        <v>174</v>
      </c>
      <c r="B185" s="481" t="s">
        <v>387</v>
      </c>
      <c r="C185" s="472" t="s">
        <v>388</v>
      </c>
      <c r="D185" s="550">
        <v>27208</v>
      </c>
      <c r="E185" s="549">
        <v>26670</v>
      </c>
      <c r="F185" s="550">
        <v>26749</v>
      </c>
      <c r="G185" s="549">
        <f t="shared" si="8"/>
        <v>80627</v>
      </c>
      <c r="H185" s="550">
        <v>47609</v>
      </c>
      <c r="I185" s="549">
        <v>38723</v>
      </c>
      <c r="J185" s="550">
        <v>46393</v>
      </c>
      <c r="K185" s="550">
        <f t="shared" si="9"/>
        <v>132725</v>
      </c>
      <c r="L185" s="549">
        <v>0</v>
      </c>
      <c r="M185" s="550">
        <v>0</v>
      </c>
      <c r="N185" s="549">
        <v>0</v>
      </c>
      <c r="O185" s="518">
        <f t="shared" si="10"/>
        <v>0</v>
      </c>
      <c r="P185" s="549">
        <v>89993</v>
      </c>
      <c r="Q185" s="550">
        <v>885</v>
      </c>
      <c r="R185" s="549">
        <v>86470</v>
      </c>
      <c r="S185" s="550">
        <v>87355</v>
      </c>
      <c r="T185" s="556">
        <v>97.07</v>
      </c>
      <c r="U185" s="550">
        <v>2733</v>
      </c>
      <c r="V185" s="549">
        <v>881</v>
      </c>
      <c r="W185" s="550">
        <v>90084</v>
      </c>
      <c r="X185" s="549">
        <v>13035</v>
      </c>
      <c r="Y185" s="550">
        <v>0</v>
      </c>
      <c r="Z185" s="549">
        <v>147493</v>
      </c>
      <c r="AA185" s="550">
        <v>402</v>
      </c>
      <c r="AB185" s="549">
        <v>146323</v>
      </c>
      <c r="AC185" s="550">
        <v>146725</v>
      </c>
      <c r="AD185" s="556">
        <v>99.48</v>
      </c>
      <c r="AE185" s="550">
        <v>-3174</v>
      </c>
      <c r="AF185" s="549">
        <v>841</v>
      </c>
      <c r="AG185" s="550">
        <v>143990</v>
      </c>
      <c r="AH185" s="549">
        <v>16332</v>
      </c>
      <c r="AI185" s="550">
        <v>155493507.81999999</v>
      </c>
      <c r="AJ185" s="549">
        <v>78814</v>
      </c>
      <c r="AK185" s="550">
        <v>44.2</v>
      </c>
      <c r="AL185" s="549">
        <v>1515.21</v>
      </c>
      <c r="AM185" s="473">
        <f t="shared" si="11"/>
        <v>119486.73322200001</v>
      </c>
      <c r="AN185" s="141"/>
      <c r="AO185" s="566"/>
      <c r="AP185" s="567"/>
    </row>
    <row r="186" spans="1:42">
      <c r="A186" s="471">
        <v>175</v>
      </c>
      <c r="B186" s="481" t="s">
        <v>389</v>
      </c>
      <c r="C186" s="472" t="s">
        <v>390</v>
      </c>
      <c r="D186" s="550">
        <v>14086</v>
      </c>
      <c r="E186" s="549">
        <v>13191</v>
      </c>
      <c r="F186" s="550">
        <v>12967</v>
      </c>
      <c r="G186" s="549">
        <f t="shared" si="8"/>
        <v>40244</v>
      </c>
      <c r="H186" s="550">
        <v>9451</v>
      </c>
      <c r="I186" s="549">
        <v>11320</v>
      </c>
      <c r="J186" s="550">
        <v>8649</v>
      </c>
      <c r="K186" s="550">
        <f t="shared" si="9"/>
        <v>29420</v>
      </c>
      <c r="L186" s="549">
        <v>0</v>
      </c>
      <c r="M186" s="550">
        <v>0</v>
      </c>
      <c r="N186" s="549">
        <v>0</v>
      </c>
      <c r="O186" s="518">
        <f t="shared" si="10"/>
        <v>0</v>
      </c>
      <c r="P186" s="549">
        <v>49420</v>
      </c>
      <c r="Q186" s="550">
        <v>586</v>
      </c>
      <c r="R186" s="549">
        <v>47497</v>
      </c>
      <c r="S186" s="550">
        <v>48083</v>
      </c>
      <c r="T186" s="556">
        <v>97.29</v>
      </c>
      <c r="U186" s="550">
        <v>843</v>
      </c>
      <c r="V186" s="549">
        <v>602</v>
      </c>
      <c r="W186" s="550">
        <v>48942</v>
      </c>
      <c r="X186" s="549">
        <v>10074</v>
      </c>
      <c r="Y186" s="550">
        <v>0</v>
      </c>
      <c r="Z186" s="549">
        <v>33016</v>
      </c>
      <c r="AA186" s="550">
        <v>118</v>
      </c>
      <c r="AB186" s="549">
        <v>32062</v>
      </c>
      <c r="AC186" s="550">
        <v>32180</v>
      </c>
      <c r="AD186" s="556">
        <v>97.47</v>
      </c>
      <c r="AE186" s="550">
        <v>213</v>
      </c>
      <c r="AF186" s="549">
        <v>73</v>
      </c>
      <c r="AG186" s="550">
        <v>32348</v>
      </c>
      <c r="AH186" s="549">
        <v>3202</v>
      </c>
      <c r="AI186" s="550">
        <v>34441531.660000004</v>
      </c>
      <c r="AJ186" s="549">
        <v>40144</v>
      </c>
      <c r="AK186" s="550">
        <v>0</v>
      </c>
      <c r="AL186" s="549">
        <v>1457.95</v>
      </c>
      <c r="AM186" s="473">
        <f t="shared" si="11"/>
        <v>58527.944800000005</v>
      </c>
      <c r="AN186" s="141"/>
      <c r="AO186" s="566"/>
      <c r="AP186" s="567"/>
    </row>
    <row r="187" spans="1:42">
      <c r="A187" s="471">
        <v>176</v>
      </c>
      <c r="B187" s="481" t="s">
        <v>391</v>
      </c>
      <c r="C187" s="472" t="s">
        <v>392</v>
      </c>
      <c r="D187" s="550">
        <v>20211</v>
      </c>
      <c r="E187" s="549">
        <v>19185</v>
      </c>
      <c r="F187" s="550">
        <v>18751</v>
      </c>
      <c r="G187" s="549">
        <f t="shared" si="8"/>
        <v>58147</v>
      </c>
      <c r="H187" s="550">
        <v>45496</v>
      </c>
      <c r="I187" s="549">
        <v>34104</v>
      </c>
      <c r="J187" s="550">
        <v>32886</v>
      </c>
      <c r="K187" s="550">
        <f t="shared" si="9"/>
        <v>112486</v>
      </c>
      <c r="L187" s="549">
        <v>0</v>
      </c>
      <c r="M187" s="550">
        <v>0</v>
      </c>
      <c r="N187" s="549">
        <v>0</v>
      </c>
      <c r="O187" s="518">
        <f t="shared" si="10"/>
        <v>0</v>
      </c>
      <c r="P187" s="549">
        <v>71412</v>
      </c>
      <c r="Q187" s="550">
        <v>1443</v>
      </c>
      <c r="R187" s="549">
        <v>65076</v>
      </c>
      <c r="S187" s="550">
        <v>66519</v>
      </c>
      <c r="T187" s="556">
        <v>93.15</v>
      </c>
      <c r="U187" s="550">
        <v>2339</v>
      </c>
      <c r="V187" s="549">
        <v>1566</v>
      </c>
      <c r="W187" s="550">
        <v>68981</v>
      </c>
      <c r="X187" s="549">
        <v>13240</v>
      </c>
      <c r="Y187" s="550">
        <v>0</v>
      </c>
      <c r="Z187" s="549">
        <v>131212</v>
      </c>
      <c r="AA187" s="550">
        <v>785</v>
      </c>
      <c r="AB187" s="549">
        <v>130091</v>
      </c>
      <c r="AC187" s="550">
        <v>130876</v>
      </c>
      <c r="AD187" s="556">
        <v>99.74</v>
      </c>
      <c r="AE187" s="550">
        <v>2111</v>
      </c>
      <c r="AF187" s="549">
        <v>-1790</v>
      </c>
      <c r="AG187" s="550">
        <v>130412</v>
      </c>
      <c r="AH187" s="549">
        <v>11873</v>
      </c>
      <c r="AI187" s="550">
        <v>147434822.15000001</v>
      </c>
      <c r="AJ187" s="549">
        <v>81989</v>
      </c>
      <c r="AK187" s="550">
        <v>0</v>
      </c>
      <c r="AL187" s="549">
        <v>1248.6300000000001</v>
      </c>
      <c r="AM187" s="473">
        <f t="shared" si="11"/>
        <v>102373.92507000001</v>
      </c>
      <c r="AN187" s="141"/>
      <c r="AO187" s="566"/>
      <c r="AP187" s="567"/>
    </row>
    <row r="188" spans="1:42">
      <c r="A188" s="471">
        <v>177</v>
      </c>
      <c r="B188" s="481" t="s">
        <v>393</v>
      </c>
      <c r="C188" s="472" t="s">
        <v>394</v>
      </c>
      <c r="D188" s="550">
        <v>14351</v>
      </c>
      <c r="E188" s="549">
        <v>14226</v>
      </c>
      <c r="F188" s="550">
        <v>13848</v>
      </c>
      <c r="G188" s="549">
        <f t="shared" si="8"/>
        <v>42425</v>
      </c>
      <c r="H188" s="550">
        <v>10447</v>
      </c>
      <c r="I188" s="549">
        <v>8442</v>
      </c>
      <c r="J188" s="550">
        <v>8923</v>
      </c>
      <c r="K188" s="550">
        <f t="shared" si="9"/>
        <v>27812</v>
      </c>
      <c r="L188" s="549">
        <v>0</v>
      </c>
      <c r="M188" s="550">
        <v>0</v>
      </c>
      <c r="N188" s="549">
        <v>0</v>
      </c>
      <c r="O188" s="518">
        <f t="shared" si="10"/>
        <v>0</v>
      </c>
      <c r="P188" s="549">
        <v>47026</v>
      </c>
      <c r="Q188" s="550">
        <v>519</v>
      </c>
      <c r="R188" s="549">
        <v>45408</v>
      </c>
      <c r="S188" s="550">
        <v>45927</v>
      </c>
      <c r="T188" s="556">
        <v>97.66</v>
      </c>
      <c r="U188" s="550">
        <v>872</v>
      </c>
      <c r="V188" s="549">
        <v>646</v>
      </c>
      <c r="W188" s="550">
        <v>46926</v>
      </c>
      <c r="X188" s="549">
        <v>5642</v>
      </c>
      <c r="Y188" s="550">
        <v>0</v>
      </c>
      <c r="Z188" s="549">
        <v>31261</v>
      </c>
      <c r="AA188" s="550">
        <v>260</v>
      </c>
      <c r="AB188" s="549">
        <v>30380</v>
      </c>
      <c r="AC188" s="550">
        <v>30640</v>
      </c>
      <c r="AD188" s="556">
        <v>98.01</v>
      </c>
      <c r="AE188" s="550">
        <v>52</v>
      </c>
      <c r="AF188" s="549">
        <v>121</v>
      </c>
      <c r="AG188" s="550">
        <v>30553</v>
      </c>
      <c r="AH188" s="549">
        <v>2918</v>
      </c>
      <c r="AI188" s="550">
        <v>33269162.330000002</v>
      </c>
      <c r="AJ188" s="549">
        <v>35554.879999999997</v>
      </c>
      <c r="AK188" s="550">
        <v>0</v>
      </c>
      <c r="AL188" s="549">
        <v>1566.68</v>
      </c>
      <c r="AM188" s="473">
        <f t="shared" si="11"/>
        <v>55703.119398399998</v>
      </c>
      <c r="AN188" s="141"/>
      <c r="AO188" s="566"/>
      <c r="AP188" s="567"/>
    </row>
    <row r="189" spans="1:42">
      <c r="A189" s="471">
        <v>178</v>
      </c>
      <c r="B189" s="481" t="s">
        <v>395</v>
      </c>
      <c r="C189" s="472" t="s">
        <v>396</v>
      </c>
      <c r="D189" s="550">
        <v>11871</v>
      </c>
      <c r="E189" s="549">
        <v>11684</v>
      </c>
      <c r="F189" s="550">
        <v>11909</v>
      </c>
      <c r="G189" s="549">
        <f t="shared" si="8"/>
        <v>35464</v>
      </c>
      <c r="H189" s="550">
        <v>4958</v>
      </c>
      <c r="I189" s="549">
        <v>3047</v>
      </c>
      <c r="J189" s="550">
        <v>3820</v>
      </c>
      <c r="K189" s="550">
        <f t="shared" si="9"/>
        <v>11825</v>
      </c>
      <c r="L189" s="549">
        <v>0</v>
      </c>
      <c r="M189" s="550">
        <v>0</v>
      </c>
      <c r="N189" s="549">
        <v>0</v>
      </c>
      <c r="O189" s="518">
        <f t="shared" si="10"/>
        <v>0</v>
      </c>
      <c r="P189" s="549">
        <v>39741</v>
      </c>
      <c r="Q189" s="550">
        <v>590</v>
      </c>
      <c r="R189" s="549">
        <v>38518</v>
      </c>
      <c r="S189" s="550">
        <v>39108</v>
      </c>
      <c r="T189" s="556">
        <v>98.41</v>
      </c>
      <c r="U189" s="550">
        <v>539</v>
      </c>
      <c r="V189" s="549">
        <v>532</v>
      </c>
      <c r="W189" s="550">
        <v>39589</v>
      </c>
      <c r="X189" s="549">
        <v>4945</v>
      </c>
      <c r="Y189" s="550">
        <v>0</v>
      </c>
      <c r="Z189" s="549">
        <v>13207</v>
      </c>
      <c r="AA189" s="550">
        <v>148</v>
      </c>
      <c r="AB189" s="549">
        <v>12818</v>
      </c>
      <c r="AC189" s="550">
        <v>12966</v>
      </c>
      <c r="AD189" s="556">
        <v>98.18</v>
      </c>
      <c r="AE189" s="550">
        <v>-1258</v>
      </c>
      <c r="AF189" s="549">
        <v>69</v>
      </c>
      <c r="AG189" s="550">
        <v>11629</v>
      </c>
      <c r="AH189" s="549">
        <v>1326</v>
      </c>
      <c r="AI189" s="550">
        <v>13903697.83</v>
      </c>
      <c r="AJ189" s="549">
        <v>27417.3</v>
      </c>
      <c r="AK189" s="550">
        <v>437.6</v>
      </c>
      <c r="AL189" s="549">
        <v>1604.53</v>
      </c>
      <c r="AM189" s="473">
        <f t="shared" si="11"/>
        <v>44694.022697</v>
      </c>
      <c r="AN189" s="141"/>
      <c r="AO189" s="566"/>
      <c r="AP189" s="567"/>
    </row>
    <row r="190" spans="1:42">
      <c r="A190" s="471">
        <v>179</v>
      </c>
      <c r="B190" s="481" t="s">
        <v>397</v>
      </c>
      <c r="C190" s="472" t="s">
        <v>398</v>
      </c>
      <c r="D190" s="550">
        <v>13459</v>
      </c>
      <c r="E190" s="549">
        <v>13322</v>
      </c>
      <c r="F190" s="550">
        <v>13178</v>
      </c>
      <c r="G190" s="549">
        <f t="shared" si="8"/>
        <v>39959</v>
      </c>
      <c r="H190" s="550">
        <v>4819</v>
      </c>
      <c r="I190" s="549">
        <v>5815</v>
      </c>
      <c r="J190" s="550">
        <v>3740</v>
      </c>
      <c r="K190" s="550">
        <f t="shared" si="9"/>
        <v>14374</v>
      </c>
      <c r="L190" s="549">
        <v>0</v>
      </c>
      <c r="M190" s="550">
        <v>0</v>
      </c>
      <c r="N190" s="549">
        <v>0</v>
      </c>
      <c r="O190" s="518">
        <f t="shared" si="10"/>
        <v>0</v>
      </c>
      <c r="P190" s="549">
        <v>45429</v>
      </c>
      <c r="Q190" s="550">
        <v>370</v>
      </c>
      <c r="R190" s="549">
        <v>43854</v>
      </c>
      <c r="S190" s="550">
        <v>44224</v>
      </c>
      <c r="T190" s="556">
        <v>97.35</v>
      </c>
      <c r="U190" s="550">
        <v>708</v>
      </c>
      <c r="V190" s="549">
        <v>312</v>
      </c>
      <c r="W190" s="550">
        <v>44874</v>
      </c>
      <c r="X190" s="549">
        <v>5564</v>
      </c>
      <c r="Y190" s="550">
        <v>0</v>
      </c>
      <c r="Z190" s="549">
        <v>14997</v>
      </c>
      <c r="AA190" s="550">
        <v>76</v>
      </c>
      <c r="AB190" s="549">
        <v>14483</v>
      </c>
      <c r="AC190" s="550">
        <v>14559</v>
      </c>
      <c r="AD190" s="556">
        <v>97.08</v>
      </c>
      <c r="AE190" s="550">
        <v>-702</v>
      </c>
      <c r="AF190" s="549">
        <v>35</v>
      </c>
      <c r="AG190" s="550">
        <v>13816</v>
      </c>
      <c r="AH190" s="549">
        <v>904</v>
      </c>
      <c r="AI190" s="550">
        <v>15812169.109999999</v>
      </c>
      <c r="AJ190" s="549">
        <v>33238.82</v>
      </c>
      <c r="AK190" s="550">
        <v>0</v>
      </c>
      <c r="AL190" s="549">
        <v>1578.98</v>
      </c>
      <c r="AM190" s="473">
        <f t="shared" si="11"/>
        <v>52483.432003599999</v>
      </c>
      <c r="AN190" s="141"/>
      <c r="AO190" s="566"/>
      <c r="AP190" s="567"/>
    </row>
    <row r="191" spans="1:42">
      <c r="A191" s="471">
        <v>180</v>
      </c>
      <c r="B191" s="481" t="s">
        <v>399</v>
      </c>
      <c r="C191" s="472" t="s">
        <v>400</v>
      </c>
      <c r="D191" s="550">
        <v>17428</v>
      </c>
      <c r="E191" s="549">
        <v>17185</v>
      </c>
      <c r="F191" s="550">
        <v>16873</v>
      </c>
      <c r="G191" s="549">
        <f t="shared" si="8"/>
        <v>51486</v>
      </c>
      <c r="H191" s="550">
        <v>20174</v>
      </c>
      <c r="I191" s="549">
        <v>18755</v>
      </c>
      <c r="J191" s="550">
        <v>17759</v>
      </c>
      <c r="K191" s="550">
        <f t="shared" si="9"/>
        <v>56688</v>
      </c>
      <c r="L191" s="549">
        <v>0</v>
      </c>
      <c r="M191" s="550">
        <v>0</v>
      </c>
      <c r="N191" s="549">
        <v>0</v>
      </c>
      <c r="O191" s="518">
        <f t="shared" si="10"/>
        <v>0</v>
      </c>
      <c r="P191" s="549">
        <v>57431</v>
      </c>
      <c r="Q191" s="550">
        <v>1237</v>
      </c>
      <c r="R191" s="549">
        <v>54589</v>
      </c>
      <c r="S191" s="550">
        <v>55826</v>
      </c>
      <c r="T191" s="556">
        <v>97.21</v>
      </c>
      <c r="U191" s="550">
        <v>998</v>
      </c>
      <c r="V191" s="549">
        <v>897</v>
      </c>
      <c r="W191" s="550">
        <v>56484</v>
      </c>
      <c r="X191" s="549">
        <v>7355</v>
      </c>
      <c r="Y191" s="550">
        <v>0</v>
      </c>
      <c r="Z191" s="549">
        <v>65317</v>
      </c>
      <c r="AA191" s="550">
        <v>605</v>
      </c>
      <c r="AB191" s="549">
        <v>62906</v>
      </c>
      <c r="AC191" s="550">
        <v>63511</v>
      </c>
      <c r="AD191" s="556">
        <v>97.24</v>
      </c>
      <c r="AE191" s="550">
        <v>-2360</v>
      </c>
      <c r="AF191" s="549">
        <v>190</v>
      </c>
      <c r="AG191" s="550">
        <v>60736</v>
      </c>
      <c r="AH191" s="549">
        <v>5390</v>
      </c>
      <c r="AI191" s="550">
        <v>67972410.210000008</v>
      </c>
      <c r="AJ191" s="549">
        <v>49978.8</v>
      </c>
      <c r="AK191" s="550">
        <v>0</v>
      </c>
      <c r="AL191" s="549">
        <v>1510.93</v>
      </c>
      <c r="AM191" s="473">
        <f t="shared" si="11"/>
        <v>75514.468284000002</v>
      </c>
      <c r="AN191" s="141"/>
      <c r="AO191" s="566"/>
      <c r="AP191" s="567"/>
    </row>
    <row r="192" spans="1:42">
      <c r="A192" s="471">
        <v>181</v>
      </c>
      <c r="B192" s="481" t="s">
        <v>401</v>
      </c>
      <c r="C192" s="472" t="s">
        <v>402</v>
      </c>
      <c r="D192" s="550">
        <v>20220</v>
      </c>
      <c r="E192" s="549">
        <v>19036</v>
      </c>
      <c r="F192" s="550">
        <v>19987</v>
      </c>
      <c r="G192" s="549">
        <f t="shared" si="8"/>
        <v>59243</v>
      </c>
      <c r="H192" s="550">
        <v>11990</v>
      </c>
      <c r="I192" s="549">
        <v>10080</v>
      </c>
      <c r="J192" s="550">
        <v>10092</v>
      </c>
      <c r="K192" s="550">
        <f t="shared" si="9"/>
        <v>32162</v>
      </c>
      <c r="L192" s="549">
        <v>0</v>
      </c>
      <c r="M192" s="550">
        <v>0</v>
      </c>
      <c r="N192" s="549">
        <v>0</v>
      </c>
      <c r="O192" s="518">
        <f t="shared" si="10"/>
        <v>0</v>
      </c>
      <c r="P192" s="549">
        <v>67400</v>
      </c>
      <c r="Q192" s="550">
        <v>587</v>
      </c>
      <c r="R192" s="549">
        <v>65583</v>
      </c>
      <c r="S192" s="550">
        <v>66170</v>
      </c>
      <c r="T192" s="556">
        <v>98.18</v>
      </c>
      <c r="U192" s="550">
        <v>1308</v>
      </c>
      <c r="V192" s="549">
        <v>567</v>
      </c>
      <c r="W192" s="550">
        <v>67458</v>
      </c>
      <c r="X192" s="549">
        <v>10033</v>
      </c>
      <c r="Y192" s="550">
        <v>0</v>
      </c>
      <c r="Z192" s="549">
        <v>38269</v>
      </c>
      <c r="AA192" s="550">
        <v>349</v>
      </c>
      <c r="AB192" s="549">
        <v>36796</v>
      </c>
      <c r="AC192" s="550">
        <v>37145</v>
      </c>
      <c r="AD192" s="556">
        <v>97.06</v>
      </c>
      <c r="AE192" s="550">
        <v>724</v>
      </c>
      <c r="AF192" s="549">
        <v>329</v>
      </c>
      <c r="AG192" s="550">
        <v>37849</v>
      </c>
      <c r="AH192" s="549">
        <v>6129</v>
      </c>
      <c r="AI192" s="550">
        <v>39155222.509999998</v>
      </c>
      <c r="AJ192" s="549">
        <v>51503.1</v>
      </c>
      <c r="AK192" s="550">
        <v>0</v>
      </c>
      <c r="AL192" s="549">
        <v>1485.63</v>
      </c>
      <c r="AM192" s="473">
        <f t="shared" si="11"/>
        <v>76514.550453000003</v>
      </c>
      <c r="AN192" s="141"/>
      <c r="AO192" s="566"/>
      <c r="AP192" s="567"/>
    </row>
    <row r="193" spans="1:42">
      <c r="A193" s="471">
        <v>182</v>
      </c>
      <c r="B193" s="481" t="s">
        <v>403</v>
      </c>
      <c r="C193" s="472" t="s">
        <v>404</v>
      </c>
      <c r="D193" s="550">
        <v>14213</v>
      </c>
      <c r="E193" s="549">
        <v>14111</v>
      </c>
      <c r="F193" s="550">
        <v>14426</v>
      </c>
      <c r="G193" s="549">
        <f t="shared" si="8"/>
        <v>42750</v>
      </c>
      <c r="H193" s="550">
        <v>8963</v>
      </c>
      <c r="I193" s="549">
        <v>5492</v>
      </c>
      <c r="J193" s="550">
        <v>5246</v>
      </c>
      <c r="K193" s="550">
        <f t="shared" si="9"/>
        <v>19701</v>
      </c>
      <c r="L193" s="549">
        <v>0</v>
      </c>
      <c r="M193" s="550">
        <v>0</v>
      </c>
      <c r="N193" s="549">
        <v>0</v>
      </c>
      <c r="O193" s="518">
        <f t="shared" si="10"/>
        <v>0</v>
      </c>
      <c r="P193" s="549">
        <v>47104</v>
      </c>
      <c r="Q193" s="550">
        <v>769</v>
      </c>
      <c r="R193" s="549">
        <v>45923</v>
      </c>
      <c r="S193" s="550">
        <v>46692</v>
      </c>
      <c r="T193" s="556">
        <v>99.13</v>
      </c>
      <c r="U193" s="550">
        <v>1283</v>
      </c>
      <c r="V193" s="549">
        <v>769</v>
      </c>
      <c r="W193" s="550">
        <v>47975</v>
      </c>
      <c r="X193" s="549">
        <v>6994</v>
      </c>
      <c r="Y193" s="550">
        <v>0</v>
      </c>
      <c r="Z193" s="549">
        <v>21534</v>
      </c>
      <c r="AA193" s="550">
        <v>570</v>
      </c>
      <c r="AB193" s="549">
        <v>20949</v>
      </c>
      <c r="AC193" s="550">
        <v>21519</v>
      </c>
      <c r="AD193" s="556">
        <v>99.93</v>
      </c>
      <c r="AE193" s="550">
        <v>-23</v>
      </c>
      <c r="AF193" s="549">
        <v>336</v>
      </c>
      <c r="AG193" s="550">
        <v>21262</v>
      </c>
      <c r="AH193" s="549">
        <v>2912</v>
      </c>
      <c r="AI193" s="550">
        <v>22697198.18</v>
      </c>
      <c r="AJ193" s="549">
        <v>37213.199999999997</v>
      </c>
      <c r="AK193" s="550">
        <v>852.2</v>
      </c>
      <c r="AL193" s="549">
        <v>1463.41</v>
      </c>
      <c r="AM193" s="473">
        <f t="shared" si="11"/>
        <v>55705.287013999994</v>
      </c>
      <c r="AN193" s="141"/>
      <c r="AO193" s="566"/>
      <c r="AP193" s="567"/>
    </row>
    <row r="194" spans="1:42">
      <c r="A194" s="471">
        <v>183</v>
      </c>
      <c r="B194" s="481" t="s">
        <v>405</v>
      </c>
      <c r="C194" s="472" t="s">
        <v>406</v>
      </c>
      <c r="D194" s="550">
        <v>21221</v>
      </c>
      <c r="E194" s="549">
        <v>19715</v>
      </c>
      <c r="F194" s="550">
        <v>20386</v>
      </c>
      <c r="G194" s="549">
        <f t="shared" si="8"/>
        <v>61322</v>
      </c>
      <c r="H194" s="550">
        <v>29189</v>
      </c>
      <c r="I194" s="549">
        <v>23188</v>
      </c>
      <c r="J194" s="550">
        <v>27197</v>
      </c>
      <c r="K194" s="550">
        <f t="shared" si="9"/>
        <v>79574</v>
      </c>
      <c r="L194" s="549">
        <v>0</v>
      </c>
      <c r="M194" s="550">
        <v>0</v>
      </c>
      <c r="N194" s="549">
        <v>0</v>
      </c>
      <c r="O194" s="518">
        <f t="shared" si="10"/>
        <v>0</v>
      </c>
      <c r="P194" s="549">
        <v>68321</v>
      </c>
      <c r="Q194" s="550">
        <v>935</v>
      </c>
      <c r="R194" s="549">
        <v>66052</v>
      </c>
      <c r="S194" s="550">
        <v>66987</v>
      </c>
      <c r="T194" s="556">
        <v>98.05</v>
      </c>
      <c r="U194" s="550">
        <v>1220</v>
      </c>
      <c r="V194" s="549">
        <v>677</v>
      </c>
      <c r="W194" s="550">
        <v>67949</v>
      </c>
      <c r="X194" s="549">
        <v>7688</v>
      </c>
      <c r="Y194" s="550">
        <v>0</v>
      </c>
      <c r="Z194" s="549">
        <v>84190</v>
      </c>
      <c r="AA194" s="550">
        <v>159</v>
      </c>
      <c r="AB194" s="549">
        <v>83284</v>
      </c>
      <c r="AC194" s="550">
        <v>83443</v>
      </c>
      <c r="AD194" s="556">
        <v>99.11</v>
      </c>
      <c r="AE194" s="550">
        <v>-2945</v>
      </c>
      <c r="AF194" s="549">
        <v>40</v>
      </c>
      <c r="AG194" s="550">
        <v>80379</v>
      </c>
      <c r="AH194" s="549">
        <v>9404</v>
      </c>
      <c r="AI194" s="550">
        <v>87890167.390000001</v>
      </c>
      <c r="AJ194" s="549">
        <v>53043.7</v>
      </c>
      <c r="AK194" s="550">
        <v>47.2</v>
      </c>
      <c r="AL194" s="549">
        <v>1562.1</v>
      </c>
      <c r="AM194" s="473">
        <f t="shared" si="11"/>
        <v>82933.29488999999</v>
      </c>
      <c r="AN194" s="141"/>
      <c r="AO194" s="566"/>
      <c r="AP194" s="567"/>
    </row>
    <row r="195" spans="1:42">
      <c r="A195" s="471">
        <v>184</v>
      </c>
      <c r="B195" s="481" t="s">
        <v>407</v>
      </c>
      <c r="C195" s="472" t="s">
        <v>408</v>
      </c>
      <c r="D195" s="550">
        <v>17517</v>
      </c>
      <c r="E195" s="549">
        <v>14895</v>
      </c>
      <c r="F195" s="550">
        <v>15733</v>
      </c>
      <c r="G195" s="549">
        <f t="shared" si="8"/>
        <v>48145</v>
      </c>
      <c r="H195" s="550">
        <v>8059</v>
      </c>
      <c r="I195" s="549">
        <v>7433</v>
      </c>
      <c r="J195" s="550">
        <v>6239</v>
      </c>
      <c r="K195" s="550">
        <f t="shared" si="9"/>
        <v>21731</v>
      </c>
      <c r="L195" s="549">
        <v>0</v>
      </c>
      <c r="M195" s="550">
        <v>0</v>
      </c>
      <c r="N195" s="549">
        <v>0</v>
      </c>
      <c r="O195" s="518">
        <f t="shared" si="10"/>
        <v>0</v>
      </c>
      <c r="P195" s="549">
        <v>55279</v>
      </c>
      <c r="Q195" s="550">
        <v>1028</v>
      </c>
      <c r="R195" s="549">
        <v>53091</v>
      </c>
      <c r="S195" s="550">
        <v>54119</v>
      </c>
      <c r="T195" s="556">
        <v>97.9</v>
      </c>
      <c r="U195" s="550">
        <v>-333</v>
      </c>
      <c r="V195" s="549">
        <v>1061</v>
      </c>
      <c r="W195" s="550">
        <v>53819</v>
      </c>
      <c r="X195" s="549">
        <v>8586</v>
      </c>
      <c r="Y195" s="550">
        <v>0</v>
      </c>
      <c r="Z195" s="549">
        <v>22850</v>
      </c>
      <c r="AA195" s="550">
        <v>0</v>
      </c>
      <c r="AB195" s="549">
        <v>22492</v>
      </c>
      <c r="AC195" s="550">
        <v>22492</v>
      </c>
      <c r="AD195" s="556">
        <v>98.43</v>
      </c>
      <c r="AE195" s="550">
        <v>-506</v>
      </c>
      <c r="AF195" s="549">
        <v>223</v>
      </c>
      <c r="AG195" s="550">
        <v>22209</v>
      </c>
      <c r="AH195" s="549">
        <v>2368</v>
      </c>
      <c r="AI195" s="550">
        <v>24121195.440000001</v>
      </c>
      <c r="AJ195" s="549">
        <v>42442</v>
      </c>
      <c r="AK195" s="550">
        <v>0</v>
      </c>
      <c r="AL195" s="549">
        <v>1524.75</v>
      </c>
      <c r="AM195" s="473">
        <f t="shared" si="11"/>
        <v>64713.4395</v>
      </c>
      <c r="AN195" s="141"/>
      <c r="AO195" s="566"/>
      <c r="AP195" s="567"/>
    </row>
    <row r="196" spans="1:42">
      <c r="A196" s="471">
        <v>185</v>
      </c>
      <c r="B196" s="481" t="s">
        <v>409</v>
      </c>
      <c r="C196" s="472" t="s">
        <v>410</v>
      </c>
      <c r="D196" s="550">
        <v>30514</v>
      </c>
      <c r="E196" s="549">
        <v>29964</v>
      </c>
      <c r="F196" s="550">
        <v>29955</v>
      </c>
      <c r="G196" s="549">
        <f t="shared" si="8"/>
        <v>90433</v>
      </c>
      <c r="H196" s="550">
        <v>17740</v>
      </c>
      <c r="I196" s="549">
        <v>16930</v>
      </c>
      <c r="J196" s="550">
        <v>16621</v>
      </c>
      <c r="K196" s="550">
        <f t="shared" si="9"/>
        <v>51291</v>
      </c>
      <c r="L196" s="549">
        <v>0</v>
      </c>
      <c r="M196" s="550">
        <v>0</v>
      </c>
      <c r="N196" s="549">
        <v>0</v>
      </c>
      <c r="O196" s="518">
        <f t="shared" si="10"/>
        <v>0</v>
      </c>
      <c r="P196" s="549">
        <v>100201</v>
      </c>
      <c r="Q196" s="550">
        <v>1520</v>
      </c>
      <c r="R196" s="549">
        <v>96546</v>
      </c>
      <c r="S196" s="550">
        <v>98066</v>
      </c>
      <c r="T196" s="556">
        <v>97.87</v>
      </c>
      <c r="U196" s="550">
        <v>1194</v>
      </c>
      <c r="V196" s="549">
        <v>1451</v>
      </c>
      <c r="W196" s="550">
        <v>99191</v>
      </c>
      <c r="X196" s="549">
        <v>12536</v>
      </c>
      <c r="Y196" s="550">
        <v>0</v>
      </c>
      <c r="Z196" s="549">
        <v>56491</v>
      </c>
      <c r="AA196" s="550">
        <v>507</v>
      </c>
      <c r="AB196" s="549">
        <v>54474</v>
      </c>
      <c r="AC196" s="550">
        <v>54981</v>
      </c>
      <c r="AD196" s="556">
        <v>97.33</v>
      </c>
      <c r="AE196" s="550">
        <v>-792</v>
      </c>
      <c r="AF196" s="549">
        <v>540</v>
      </c>
      <c r="AG196" s="550">
        <v>54222</v>
      </c>
      <c r="AH196" s="549">
        <v>6306</v>
      </c>
      <c r="AI196" s="550">
        <v>59139282.119999997</v>
      </c>
      <c r="AJ196" s="549">
        <v>80261.570000000007</v>
      </c>
      <c r="AK196" s="550">
        <v>0</v>
      </c>
      <c r="AL196" s="549">
        <v>1447.19</v>
      </c>
      <c r="AM196" s="473">
        <f t="shared" si="11"/>
        <v>116153.74148830002</v>
      </c>
      <c r="AN196" s="141"/>
      <c r="AO196" s="566"/>
      <c r="AP196" s="567"/>
    </row>
    <row r="197" spans="1:42">
      <c r="A197" s="471">
        <v>186</v>
      </c>
      <c r="B197" s="481" t="s">
        <v>411</v>
      </c>
      <c r="C197" s="472" t="s">
        <v>412</v>
      </c>
      <c r="D197" s="550">
        <v>20680</v>
      </c>
      <c r="E197" s="549">
        <v>22741</v>
      </c>
      <c r="F197" s="550">
        <v>22696</v>
      </c>
      <c r="G197" s="549">
        <f t="shared" si="8"/>
        <v>66117</v>
      </c>
      <c r="H197" s="550">
        <v>20644</v>
      </c>
      <c r="I197" s="549">
        <v>16368</v>
      </c>
      <c r="J197" s="550">
        <v>13561</v>
      </c>
      <c r="K197" s="550">
        <f t="shared" si="9"/>
        <v>50573</v>
      </c>
      <c r="L197" s="549">
        <v>0</v>
      </c>
      <c r="M197" s="550">
        <v>0</v>
      </c>
      <c r="N197" s="549">
        <v>0</v>
      </c>
      <c r="O197" s="518">
        <f t="shared" si="10"/>
        <v>0</v>
      </c>
      <c r="P197" s="549">
        <v>78233</v>
      </c>
      <c r="Q197" s="550">
        <v>473</v>
      </c>
      <c r="R197" s="549">
        <v>75298</v>
      </c>
      <c r="S197" s="550">
        <v>75771</v>
      </c>
      <c r="T197" s="556">
        <v>96.85</v>
      </c>
      <c r="U197" s="550">
        <v>1606</v>
      </c>
      <c r="V197" s="549">
        <v>432</v>
      </c>
      <c r="W197" s="550">
        <v>77336</v>
      </c>
      <c r="X197" s="549">
        <v>13192</v>
      </c>
      <c r="Y197" s="550">
        <v>0</v>
      </c>
      <c r="Z197" s="549">
        <v>58165</v>
      </c>
      <c r="AA197" s="550">
        <v>208</v>
      </c>
      <c r="AB197" s="549">
        <v>56833</v>
      </c>
      <c r="AC197" s="550">
        <v>57041</v>
      </c>
      <c r="AD197" s="556">
        <v>98.07</v>
      </c>
      <c r="AE197" s="550">
        <v>-3746</v>
      </c>
      <c r="AF197" s="549">
        <v>103</v>
      </c>
      <c r="AG197" s="550">
        <v>53190</v>
      </c>
      <c r="AH197" s="549">
        <v>5285</v>
      </c>
      <c r="AI197" s="550">
        <v>61528409.109999999</v>
      </c>
      <c r="AJ197" s="549">
        <v>65571</v>
      </c>
      <c r="AK197" s="550">
        <v>49.6</v>
      </c>
      <c r="AL197" s="549">
        <v>1487.81</v>
      </c>
      <c r="AM197" s="473">
        <f t="shared" si="11"/>
        <v>97630.984886000006</v>
      </c>
      <c r="AN197" s="141"/>
      <c r="AO197" s="566"/>
      <c r="AP197" s="567"/>
    </row>
    <row r="198" spans="1:42">
      <c r="A198" s="471">
        <v>187</v>
      </c>
      <c r="B198" s="481" t="s">
        <v>413</v>
      </c>
      <c r="C198" s="472" t="s">
        <v>414</v>
      </c>
      <c r="D198" s="550">
        <v>8942</v>
      </c>
      <c r="E198" s="549">
        <v>8867</v>
      </c>
      <c r="F198" s="550">
        <v>8759</v>
      </c>
      <c r="G198" s="549">
        <f t="shared" si="8"/>
        <v>26568</v>
      </c>
      <c r="H198" s="550">
        <v>12941</v>
      </c>
      <c r="I198" s="549">
        <v>11770</v>
      </c>
      <c r="J198" s="550">
        <v>12134</v>
      </c>
      <c r="K198" s="550">
        <f t="shared" si="9"/>
        <v>36845</v>
      </c>
      <c r="L198" s="549">
        <v>0</v>
      </c>
      <c r="M198" s="550">
        <v>0</v>
      </c>
      <c r="N198" s="549">
        <v>0</v>
      </c>
      <c r="O198" s="518">
        <f t="shared" si="10"/>
        <v>0</v>
      </c>
      <c r="P198" s="549">
        <v>30179</v>
      </c>
      <c r="Q198" s="550">
        <v>368</v>
      </c>
      <c r="R198" s="549">
        <v>29256</v>
      </c>
      <c r="S198" s="550">
        <v>29624</v>
      </c>
      <c r="T198" s="556">
        <v>98.16</v>
      </c>
      <c r="U198" s="550">
        <v>264</v>
      </c>
      <c r="V198" s="549">
        <v>429</v>
      </c>
      <c r="W198" s="550">
        <v>29949</v>
      </c>
      <c r="X198" s="549">
        <v>3763</v>
      </c>
      <c r="Y198" s="550">
        <v>0</v>
      </c>
      <c r="Z198" s="549">
        <v>40737</v>
      </c>
      <c r="AA198" s="550">
        <v>410</v>
      </c>
      <c r="AB198" s="549">
        <v>39857</v>
      </c>
      <c r="AC198" s="550">
        <v>40267</v>
      </c>
      <c r="AD198" s="556">
        <v>98.85</v>
      </c>
      <c r="AE198" s="550">
        <v>-1159</v>
      </c>
      <c r="AF198" s="549">
        <v>172</v>
      </c>
      <c r="AG198" s="550">
        <v>38870</v>
      </c>
      <c r="AH198" s="549">
        <v>3505</v>
      </c>
      <c r="AI198" s="550">
        <v>42486482.630000003</v>
      </c>
      <c r="AJ198" s="549">
        <v>21980.799999999999</v>
      </c>
      <c r="AK198" s="550">
        <v>0</v>
      </c>
      <c r="AL198" s="549">
        <v>1590.1</v>
      </c>
      <c r="AM198" s="473">
        <f t="shared" si="11"/>
        <v>34951.670079999996</v>
      </c>
      <c r="AN198" s="141"/>
      <c r="AO198" s="566"/>
      <c r="AP198" s="567"/>
    </row>
    <row r="199" spans="1:42">
      <c r="A199" s="471">
        <v>188</v>
      </c>
      <c r="B199" s="481" t="s">
        <v>415</v>
      </c>
      <c r="C199" s="472" t="s">
        <v>416</v>
      </c>
      <c r="D199" s="550">
        <v>12755</v>
      </c>
      <c r="E199" s="549">
        <v>12564</v>
      </c>
      <c r="F199" s="550">
        <v>12617</v>
      </c>
      <c r="G199" s="549">
        <f t="shared" si="8"/>
        <v>37936</v>
      </c>
      <c r="H199" s="550">
        <v>14189</v>
      </c>
      <c r="I199" s="549">
        <v>13514</v>
      </c>
      <c r="J199" s="550">
        <v>13268</v>
      </c>
      <c r="K199" s="550">
        <f t="shared" si="9"/>
        <v>40971</v>
      </c>
      <c r="L199" s="549">
        <v>0</v>
      </c>
      <c r="M199" s="550">
        <v>0</v>
      </c>
      <c r="N199" s="549">
        <v>0</v>
      </c>
      <c r="O199" s="518">
        <f t="shared" si="10"/>
        <v>0</v>
      </c>
      <c r="P199" s="549">
        <v>42647</v>
      </c>
      <c r="Q199" s="550">
        <v>384</v>
      </c>
      <c r="R199" s="549">
        <v>41306</v>
      </c>
      <c r="S199" s="550">
        <v>41690</v>
      </c>
      <c r="T199" s="556">
        <v>97.76</v>
      </c>
      <c r="U199" s="550">
        <v>622</v>
      </c>
      <c r="V199" s="549">
        <v>459</v>
      </c>
      <c r="W199" s="550">
        <v>42387</v>
      </c>
      <c r="X199" s="549">
        <v>5614</v>
      </c>
      <c r="Y199" s="550">
        <v>0</v>
      </c>
      <c r="Z199" s="549">
        <v>46504</v>
      </c>
      <c r="AA199" s="550">
        <v>398</v>
      </c>
      <c r="AB199" s="549">
        <v>45742</v>
      </c>
      <c r="AC199" s="550">
        <v>46140</v>
      </c>
      <c r="AD199" s="556">
        <v>99.22</v>
      </c>
      <c r="AE199" s="550">
        <v>-510</v>
      </c>
      <c r="AF199" s="549">
        <v>466</v>
      </c>
      <c r="AG199" s="550">
        <v>45698</v>
      </c>
      <c r="AH199" s="549">
        <v>5153</v>
      </c>
      <c r="AI199" s="550">
        <v>48202614.099999994</v>
      </c>
      <c r="AJ199" s="549">
        <v>31900</v>
      </c>
      <c r="AK199" s="550">
        <v>0</v>
      </c>
      <c r="AL199" s="549">
        <v>1515.52</v>
      </c>
      <c r="AM199" s="473">
        <f t="shared" si="11"/>
        <v>48345.088000000003</v>
      </c>
      <c r="AN199" s="141"/>
      <c r="AO199" s="566"/>
      <c r="AP199" s="567"/>
    </row>
    <row r="200" spans="1:42">
      <c r="A200" s="471">
        <v>189</v>
      </c>
      <c r="B200" s="481" t="s">
        <v>417</v>
      </c>
      <c r="C200" s="472" t="s">
        <v>418</v>
      </c>
      <c r="D200" s="550">
        <v>25144</v>
      </c>
      <c r="E200" s="549">
        <v>24922</v>
      </c>
      <c r="F200" s="550">
        <v>24962</v>
      </c>
      <c r="G200" s="549">
        <f t="shared" si="8"/>
        <v>75028</v>
      </c>
      <c r="H200" s="550">
        <v>30500</v>
      </c>
      <c r="I200" s="549">
        <v>27603</v>
      </c>
      <c r="J200" s="550">
        <v>29064</v>
      </c>
      <c r="K200" s="550">
        <f t="shared" si="9"/>
        <v>87167</v>
      </c>
      <c r="L200" s="549">
        <v>0</v>
      </c>
      <c r="M200" s="550">
        <v>0</v>
      </c>
      <c r="N200" s="549">
        <v>0</v>
      </c>
      <c r="O200" s="518">
        <f t="shared" si="10"/>
        <v>0</v>
      </c>
      <c r="P200" s="549">
        <v>84702</v>
      </c>
      <c r="Q200" s="550">
        <v>866</v>
      </c>
      <c r="R200" s="549">
        <v>81418</v>
      </c>
      <c r="S200" s="550">
        <v>82284</v>
      </c>
      <c r="T200" s="556">
        <v>97.15</v>
      </c>
      <c r="U200" s="550">
        <v>1604</v>
      </c>
      <c r="V200" s="549">
        <v>937</v>
      </c>
      <c r="W200" s="550">
        <v>83959</v>
      </c>
      <c r="X200" s="549">
        <v>11336</v>
      </c>
      <c r="Y200" s="550">
        <v>0</v>
      </c>
      <c r="Z200" s="549">
        <v>96663</v>
      </c>
      <c r="AA200" s="550">
        <v>799</v>
      </c>
      <c r="AB200" s="549">
        <v>94950</v>
      </c>
      <c r="AC200" s="550">
        <v>95749</v>
      </c>
      <c r="AD200" s="556">
        <v>99.05</v>
      </c>
      <c r="AE200" s="550">
        <v>-2616</v>
      </c>
      <c r="AF200" s="549">
        <v>877</v>
      </c>
      <c r="AG200" s="550">
        <v>93211</v>
      </c>
      <c r="AH200" s="549">
        <v>7754</v>
      </c>
      <c r="AI200" s="550">
        <v>103530186.08</v>
      </c>
      <c r="AJ200" s="549">
        <v>72317.2</v>
      </c>
      <c r="AK200" s="550">
        <v>0</v>
      </c>
      <c r="AL200" s="549">
        <v>1448.48</v>
      </c>
      <c r="AM200" s="473">
        <f t="shared" si="11"/>
        <v>104750.01785599999</v>
      </c>
      <c r="AN200" s="141"/>
      <c r="AO200" s="566"/>
      <c r="AP200" s="567"/>
    </row>
    <row r="201" spans="1:42">
      <c r="A201" s="471">
        <v>190</v>
      </c>
      <c r="B201" s="481" t="s">
        <v>812</v>
      </c>
      <c r="C201" s="472" t="s">
        <v>821</v>
      </c>
      <c r="D201" s="550">
        <v>42914</v>
      </c>
      <c r="E201" s="549">
        <v>42482</v>
      </c>
      <c r="F201" s="550">
        <v>42377</v>
      </c>
      <c r="G201" s="549">
        <f t="shared" si="8"/>
        <v>127773</v>
      </c>
      <c r="H201" s="550">
        <v>21308</v>
      </c>
      <c r="I201" s="549">
        <v>24278</v>
      </c>
      <c r="J201" s="550">
        <v>17701</v>
      </c>
      <c r="K201" s="550">
        <f t="shared" si="9"/>
        <v>63287</v>
      </c>
      <c r="L201" s="549">
        <v>0</v>
      </c>
      <c r="M201" s="550">
        <v>0</v>
      </c>
      <c r="N201" s="549">
        <v>0</v>
      </c>
      <c r="O201" s="518">
        <f t="shared" si="10"/>
        <v>0</v>
      </c>
      <c r="P201" s="549">
        <v>142959</v>
      </c>
      <c r="Q201" s="550">
        <v>1490</v>
      </c>
      <c r="R201" s="549">
        <v>138231</v>
      </c>
      <c r="S201" s="550">
        <v>139721</v>
      </c>
      <c r="T201" s="556">
        <v>97.74</v>
      </c>
      <c r="U201" s="550">
        <v>3198</v>
      </c>
      <c r="V201" s="549">
        <v>1281</v>
      </c>
      <c r="W201" s="550">
        <v>142710</v>
      </c>
      <c r="X201" s="549">
        <v>18047</v>
      </c>
      <c r="Y201" s="550">
        <v>0</v>
      </c>
      <c r="Z201" s="549">
        <v>72482</v>
      </c>
      <c r="AA201" s="550">
        <v>506</v>
      </c>
      <c r="AB201" s="549">
        <v>70226</v>
      </c>
      <c r="AC201" s="550">
        <v>70732</v>
      </c>
      <c r="AD201" s="556">
        <v>97.59</v>
      </c>
      <c r="AE201" s="550">
        <v>-1966</v>
      </c>
      <c r="AF201" s="549">
        <v>864</v>
      </c>
      <c r="AG201" s="550">
        <v>69124</v>
      </c>
      <c r="AH201" s="549">
        <v>2879</v>
      </c>
      <c r="AI201" s="550">
        <v>77486369.530000001</v>
      </c>
      <c r="AJ201" s="549">
        <v>114012.6</v>
      </c>
      <c r="AK201" s="550">
        <v>0</v>
      </c>
      <c r="AL201" s="549">
        <v>1512.7</v>
      </c>
      <c r="AM201" s="473">
        <f t="shared" si="11"/>
        <v>172466.86002000002</v>
      </c>
      <c r="AN201" s="141"/>
      <c r="AO201" s="566"/>
      <c r="AP201" s="567"/>
    </row>
    <row r="202" spans="1:42">
      <c r="A202" s="471">
        <v>191</v>
      </c>
      <c r="B202" s="481" t="s">
        <v>419</v>
      </c>
      <c r="C202" s="472" t="s">
        <v>420</v>
      </c>
      <c r="D202" s="550">
        <v>14966</v>
      </c>
      <c r="E202" s="549">
        <v>14642</v>
      </c>
      <c r="F202" s="550">
        <v>14603</v>
      </c>
      <c r="G202" s="549">
        <f t="shared" si="8"/>
        <v>44211</v>
      </c>
      <c r="H202" s="550">
        <v>23255</v>
      </c>
      <c r="I202" s="549">
        <v>23408</v>
      </c>
      <c r="J202" s="550">
        <v>21322</v>
      </c>
      <c r="K202" s="550">
        <f t="shared" si="9"/>
        <v>67985</v>
      </c>
      <c r="L202" s="549">
        <v>0</v>
      </c>
      <c r="M202" s="550">
        <v>0</v>
      </c>
      <c r="N202" s="549">
        <v>0</v>
      </c>
      <c r="O202" s="518">
        <f t="shared" si="10"/>
        <v>0</v>
      </c>
      <c r="P202" s="549">
        <v>51357</v>
      </c>
      <c r="Q202" s="550">
        <v>1036</v>
      </c>
      <c r="R202" s="549">
        <v>47828</v>
      </c>
      <c r="S202" s="550">
        <v>48864</v>
      </c>
      <c r="T202" s="556">
        <v>95.15</v>
      </c>
      <c r="U202" s="550">
        <v>1470</v>
      </c>
      <c r="V202" s="549">
        <v>930</v>
      </c>
      <c r="W202" s="550">
        <v>50228</v>
      </c>
      <c r="X202" s="549">
        <v>7344</v>
      </c>
      <c r="Y202" s="550">
        <v>0</v>
      </c>
      <c r="Z202" s="549">
        <v>77899</v>
      </c>
      <c r="AA202" s="550">
        <v>599</v>
      </c>
      <c r="AB202" s="549">
        <v>76121</v>
      </c>
      <c r="AC202" s="550">
        <v>76720</v>
      </c>
      <c r="AD202" s="556">
        <v>98.49</v>
      </c>
      <c r="AE202" s="550">
        <v>-1376</v>
      </c>
      <c r="AF202" s="549">
        <v>483</v>
      </c>
      <c r="AG202" s="550">
        <v>75228</v>
      </c>
      <c r="AH202" s="549">
        <v>8709</v>
      </c>
      <c r="AI202" s="550">
        <v>80611595.210000008</v>
      </c>
      <c r="AJ202" s="549">
        <v>43252</v>
      </c>
      <c r="AK202" s="550">
        <v>0</v>
      </c>
      <c r="AL202" s="549">
        <v>1576.13</v>
      </c>
      <c r="AM202" s="473">
        <f t="shared" si="11"/>
        <v>68170.77476</v>
      </c>
      <c r="AN202" s="141"/>
      <c r="AO202" s="566"/>
      <c r="AP202" s="567"/>
    </row>
    <row r="203" spans="1:42">
      <c r="A203" s="471">
        <v>192</v>
      </c>
      <c r="B203" s="481" t="s">
        <v>421</v>
      </c>
      <c r="C203" s="472" t="s">
        <v>422</v>
      </c>
      <c r="D203" s="550">
        <v>27689</v>
      </c>
      <c r="E203" s="549">
        <v>26732</v>
      </c>
      <c r="F203" s="550">
        <v>27367</v>
      </c>
      <c r="G203" s="549">
        <f t="shared" si="8"/>
        <v>81788</v>
      </c>
      <c r="H203" s="550">
        <v>39097</v>
      </c>
      <c r="I203" s="549">
        <v>34267</v>
      </c>
      <c r="J203" s="550">
        <v>36541</v>
      </c>
      <c r="K203" s="550">
        <f t="shared" si="9"/>
        <v>109905</v>
      </c>
      <c r="L203" s="549">
        <v>0</v>
      </c>
      <c r="M203" s="550">
        <v>0</v>
      </c>
      <c r="N203" s="549">
        <v>0</v>
      </c>
      <c r="O203" s="518">
        <f t="shared" si="10"/>
        <v>0</v>
      </c>
      <c r="P203" s="549">
        <v>91277</v>
      </c>
      <c r="Q203" s="550">
        <v>993</v>
      </c>
      <c r="R203" s="549">
        <v>84341</v>
      </c>
      <c r="S203" s="550">
        <v>85334</v>
      </c>
      <c r="T203" s="556">
        <v>93.49</v>
      </c>
      <c r="U203" s="550">
        <v>4591</v>
      </c>
      <c r="V203" s="549">
        <v>1021</v>
      </c>
      <c r="W203" s="550">
        <v>89953</v>
      </c>
      <c r="X203" s="549">
        <v>14153</v>
      </c>
      <c r="Y203" s="550">
        <v>0</v>
      </c>
      <c r="Z203" s="549">
        <v>127835</v>
      </c>
      <c r="AA203" s="550">
        <v>2595</v>
      </c>
      <c r="AB203" s="549">
        <v>121989</v>
      </c>
      <c r="AC203" s="550">
        <v>124584</v>
      </c>
      <c r="AD203" s="556">
        <v>97.46</v>
      </c>
      <c r="AE203" s="550">
        <v>-1919</v>
      </c>
      <c r="AF203" s="549">
        <v>1736</v>
      </c>
      <c r="AG203" s="550">
        <v>121806</v>
      </c>
      <c r="AH203" s="549">
        <v>16314</v>
      </c>
      <c r="AI203" s="550">
        <v>131268338.33</v>
      </c>
      <c r="AJ203" s="549">
        <v>79333</v>
      </c>
      <c r="AK203" s="550">
        <v>0</v>
      </c>
      <c r="AL203" s="549">
        <v>1643.76</v>
      </c>
      <c r="AM203" s="473">
        <f t="shared" si="11"/>
        <v>130404.41207999999</v>
      </c>
      <c r="AN203" s="141"/>
      <c r="AO203" s="566"/>
      <c r="AP203" s="567"/>
    </row>
    <row r="204" spans="1:42">
      <c r="A204" s="471">
        <v>193</v>
      </c>
      <c r="B204" s="481" t="s">
        <v>423</v>
      </c>
      <c r="C204" s="472" t="s">
        <v>424</v>
      </c>
      <c r="D204" s="550">
        <v>15526</v>
      </c>
      <c r="E204" s="549">
        <v>14661</v>
      </c>
      <c r="F204" s="550">
        <v>15149</v>
      </c>
      <c r="G204" s="549">
        <f t="shared" si="8"/>
        <v>45336</v>
      </c>
      <c r="H204" s="550">
        <v>11067</v>
      </c>
      <c r="I204" s="549">
        <v>9325</v>
      </c>
      <c r="J204" s="550">
        <v>9762</v>
      </c>
      <c r="K204" s="550">
        <f t="shared" si="9"/>
        <v>30154</v>
      </c>
      <c r="L204" s="549">
        <v>0</v>
      </c>
      <c r="M204" s="550">
        <v>0</v>
      </c>
      <c r="N204" s="549">
        <v>0</v>
      </c>
      <c r="O204" s="518">
        <f t="shared" si="10"/>
        <v>0</v>
      </c>
      <c r="P204" s="549">
        <v>50962</v>
      </c>
      <c r="Q204" s="550">
        <v>701</v>
      </c>
      <c r="R204" s="549">
        <v>48996</v>
      </c>
      <c r="S204" s="550">
        <v>49697</v>
      </c>
      <c r="T204" s="556">
        <v>97.5</v>
      </c>
      <c r="U204" s="550">
        <v>860</v>
      </c>
      <c r="V204" s="549">
        <v>729</v>
      </c>
      <c r="W204" s="550">
        <v>50585</v>
      </c>
      <c r="X204" s="549">
        <v>6091</v>
      </c>
      <c r="Y204" s="550">
        <v>0</v>
      </c>
      <c r="Z204" s="549">
        <v>33776</v>
      </c>
      <c r="AA204" s="550">
        <v>452</v>
      </c>
      <c r="AB204" s="549">
        <v>32524</v>
      </c>
      <c r="AC204" s="550">
        <v>32976</v>
      </c>
      <c r="AD204" s="556">
        <v>97.6</v>
      </c>
      <c r="AE204" s="550">
        <v>-320</v>
      </c>
      <c r="AF204" s="549">
        <v>14</v>
      </c>
      <c r="AG204" s="550">
        <v>32218</v>
      </c>
      <c r="AH204" s="549">
        <v>2784</v>
      </c>
      <c r="AI204" s="550">
        <v>36129504.119999997</v>
      </c>
      <c r="AJ204" s="549">
        <v>39800</v>
      </c>
      <c r="AK204" s="550">
        <v>43</v>
      </c>
      <c r="AL204" s="549">
        <v>1540.2</v>
      </c>
      <c r="AM204" s="473">
        <f t="shared" si="11"/>
        <v>61366.188600000001</v>
      </c>
      <c r="AN204" s="141"/>
      <c r="AO204" s="566"/>
      <c r="AP204" s="567"/>
    </row>
    <row r="205" spans="1:42">
      <c r="A205" s="471">
        <v>194</v>
      </c>
      <c r="B205" s="481" t="s">
        <v>425</v>
      </c>
      <c r="C205" s="472" t="s">
        <v>426</v>
      </c>
      <c r="D205" s="550">
        <v>7349</v>
      </c>
      <c r="E205" s="549">
        <v>7130</v>
      </c>
      <c r="F205" s="550">
        <v>7162</v>
      </c>
      <c r="G205" s="549">
        <f t="shared" ref="G205:G268" si="12">SUM(D205:F205)</f>
        <v>21641</v>
      </c>
      <c r="H205" s="550">
        <v>3992</v>
      </c>
      <c r="I205" s="549">
        <v>3265</v>
      </c>
      <c r="J205" s="550">
        <v>3025</v>
      </c>
      <c r="K205" s="550">
        <f t="shared" ref="K205:K268" si="13">SUM(H205:J205)</f>
        <v>10282</v>
      </c>
      <c r="L205" s="549">
        <v>0</v>
      </c>
      <c r="M205" s="550">
        <v>0</v>
      </c>
      <c r="N205" s="549">
        <v>0</v>
      </c>
      <c r="O205" s="518">
        <f t="shared" ref="O205:O268" si="14">SUM(L205:N205)</f>
        <v>0</v>
      </c>
      <c r="P205" s="549">
        <v>24093</v>
      </c>
      <c r="Q205" s="550">
        <v>268</v>
      </c>
      <c r="R205" s="549">
        <v>23546</v>
      </c>
      <c r="S205" s="550">
        <v>23814</v>
      </c>
      <c r="T205" s="556">
        <v>98.84</v>
      </c>
      <c r="U205" s="550">
        <v>97</v>
      </c>
      <c r="V205" s="549">
        <v>274</v>
      </c>
      <c r="W205" s="550">
        <v>23917</v>
      </c>
      <c r="X205" s="549">
        <v>2819</v>
      </c>
      <c r="Y205" s="550">
        <v>0</v>
      </c>
      <c r="Z205" s="549">
        <v>12140</v>
      </c>
      <c r="AA205" s="550">
        <v>25</v>
      </c>
      <c r="AB205" s="549">
        <v>11893</v>
      </c>
      <c r="AC205" s="550">
        <v>11918</v>
      </c>
      <c r="AD205" s="556">
        <v>98.17</v>
      </c>
      <c r="AE205" s="550">
        <v>-189</v>
      </c>
      <c r="AF205" s="549">
        <v>105</v>
      </c>
      <c r="AG205" s="550">
        <v>11809</v>
      </c>
      <c r="AH205" s="549">
        <v>1234</v>
      </c>
      <c r="AI205" s="550">
        <v>12043036.720000001</v>
      </c>
      <c r="AJ205" s="549">
        <v>18950.16</v>
      </c>
      <c r="AK205" s="550">
        <v>4.0999999999999996</v>
      </c>
      <c r="AL205" s="549">
        <v>1497.85</v>
      </c>
      <c r="AM205" s="473">
        <f t="shared" ref="AM205:AM268" si="15">((AJ205+AK205)*AL205)/1000</f>
        <v>28390.638340999994</v>
      </c>
      <c r="AN205" s="141"/>
      <c r="AO205" s="566"/>
      <c r="AP205" s="567"/>
    </row>
    <row r="206" spans="1:42">
      <c r="A206" s="471">
        <v>195</v>
      </c>
      <c r="B206" s="481" t="s">
        <v>427</v>
      </c>
      <c r="C206" s="472" t="s">
        <v>428</v>
      </c>
      <c r="D206" s="550">
        <v>22579</v>
      </c>
      <c r="E206" s="549">
        <v>23807</v>
      </c>
      <c r="F206" s="550">
        <v>23610</v>
      </c>
      <c r="G206" s="549">
        <f t="shared" si="12"/>
        <v>69996</v>
      </c>
      <c r="H206" s="550">
        <v>16864</v>
      </c>
      <c r="I206" s="549">
        <v>15591</v>
      </c>
      <c r="J206" s="550">
        <v>15746</v>
      </c>
      <c r="K206" s="550">
        <f t="shared" si="13"/>
        <v>48201</v>
      </c>
      <c r="L206" s="549">
        <v>0</v>
      </c>
      <c r="M206" s="550">
        <v>0</v>
      </c>
      <c r="N206" s="549">
        <v>0</v>
      </c>
      <c r="O206" s="518">
        <f t="shared" si="14"/>
        <v>0</v>
      </c>
      <c r="P206" s="549">
        <v>77723</v>
      </c>
      <c r="Q206" s="550">
        <v>1088</v>
      </c>
      <c r="R206" s="549">
        <v>73319</v>
      </c>
      <c r="S206" s="550">
        <v>74407</v>
      </c>
      <c r="T206" s="556">
        <v>95.73</v>
      </c>
      <c r="U206" s="550">
        <v>1671</v>
      </c>
      <c r="V206" s="549">
        <v>1075</v>
      </c>
      <c r="W206" s="550">
        <v>76065</v>
      </c>
      <c r="X206" s="549">
        <v>11898</v>
      </c>
      <c r="Y206" s="550">
        <v>0</v>
      </c>
      <c r="Z206" s="549">
        <v>57581</v>
      </c>
      <c r="AA206" s="550">
        <v>1336</v>
      </c>
      <c r="AB206" s="549">
        <v>53628</v>
      </c>
      <c r="AC206" s="550">
        <v>54964</v>
      </c>
      <c r="AD206" s="556">
        <v>95.46</v>
      </c>
      <c r="AE206" s="550">
        <v>-2684</v>
      </c>
      <c r="AF206" s="549">
        <v>310</v>
      </c>
      <c r="AG206" s="550">
        <v>51254</v>
      </c>
      <c r="AH206" s="549">
        <v>4514</v>
      </c>
      <c r="AI206" s="550">
        <v>60236256.130000003</v>
      </c>
      <c r="AJ206" s="549">
        <v>64835.6</v>
      </c>
      <c r="AK206" s="550">
        <v>0</v>
      </c>
      <c r="AL206" s="549">
        <v>1604.48</v>
      </c>
      <c r="AM206" s="473">
        <f t="shared" si="15"/>
        <v>104027.423488</v>
      </c>
      <c r="AN206" s="141"/>
      <c r="AO206" s="566"/>
      <c r="AP206" s="567"/>
    </row>
    <row r="207" spans="1:42">
      <c r="A207" s="471">
        <v>196</v>
      </c>
      <c r="B207" s="481" t="s">
        <v>429</v>
      </c>
      <c r="C207" s="472" t="s">
        <v>430</v>
      </c>
      <c r="D207" s="550">
        <v>20450</v>
      </c>
      <c r="E207" s="549">
        <v>19026</v>
      </c>
      <c r="F207" s="550">
        <v>19201</v>
      </c>
      <c r="G207" s="549">
        <f t="shared" si="12"/>
        <v>58677</v>
      </c>
      <c r="H207" s="550">
        <v>26389</v>
      </c>
      <c r="I207" s="549">
        <v>23897</v>
      </c>
      <c r="J207" s="550">
        <v>24784</v>
      </c>
      <c r="K207" s="550">
        <f t="shared" si="13"/>
        <v>75070</v>
      </c>
      <c r="L207" s="549">
        <v>0</v>
      </c>
      <c r="M207" s="550">
        <v>0</v>
      </c>
      <c r="N207" s="549">
        <v>0</v>
      </c>
      <c r="O207" s="518">
        <f t="shared" si="14"/>
        <v>0</v>
      </c>
      <c r="P207" s="549">
        <v>65811</v>
      </c>
      <c r="Q207" s="550">
        <v>1275</v>
      </c>
      <c r="R207" s="549">
        <v>62571</v>
      </c>
      <c r="S207" s="550">
        <v>63846</v>
      </c>
      <c r="T207" s="556">
        <v>97.01</v>
      </c>
      <c r="U207" s="550">
        <v>1029</v>
      </c>
      <c r="V207" s="549">
        <v>1577</v>
      </c>
      <c r="W207" s="550">
        <v>65177</v>
      </c>
      <c r="X207" s="549">
        <v>9327</v>
      </c>
      <c r="Y207" s="550">
        <v>-2</v>
      </c>
      <c r="Z207" s="549">
        <v>83445</v>
      </c>
      <c r="AA207" s="550">
        <v>1904</v>
      </c>
      <c r="AB207" s="549">
        <v>79351</v>
      </c>
      <c r="AC207" s="550">
        <v>81255</v>
      </c>
      <c r="AD207" s="556">
        <v>97.38</v>
      </c>
      <c r="AE207" s="550">
        <v>-202</v>
      </c>
      <c r="AF207" s="549">
        <v>1543</v>
      </c>
      <c r="AG207" s="550">
        <v>80692</v>
      </c>
      <c r="AH207" s="549">
        <v>8724</v>
      </c>
      <c r="AI207" s="550">
        <v>85220870.859999999</v>
      </c>
      <c r="AJ207" s="549">
        <v>49049.8</v>
      </c>
      <c r="AK207" s="550">
        <v>0</v>
      </c>
      <c r="AL207" s="549">
        <v>1614.14</v>
      </c>
      <c r="AM207" s="473">
        <f t="shared" si="15"/>
        <v>79173.244172000006</v>
      </c>
      <c r="AN207" s="141"/>
      <c r="AO207" s="566"/>
      <c r="AP207" s="567"/>
    </row>
    <row r="208" spans="1:42">
      <c r="A208" s="471">
        <v>197</v>
      </c>
      <c r="B208" s="481" t="s">
        <v>431</v>
      </c>
      <c r="C208" s="472" t="s">
        <v>432</v>
      </c>
      <c r="D208" s="550">
        <v>10155</v>
      </c>
      <c r="E208" s="549">
        <v>9926</v>
      </c>
      <c r="F208" s="550">
        <v>9886</v>
      </c>
      <c r="G208" s="549">
        <f t="shared" si="12"/>
        <v>29967</v>
      </c>
      <c r="H208" s="550">
        <v>5494</v>
      </c>
      <c r="I208" s="549">
        <v>5943</v>
      </c>
      <c r="J208" s="550">
        <v>5652</v>
      </c>
      <c r="K208" s="550">
        <f t="shared" si="13"/>
        <v>17089</v>
      </c>
      <c r="L208" s="549">
        <v>0</v>
      </c>
      <c r="M208" s="550">
        <v>0</v>
      </c>
      <c r="N208" s="549">
        <v>0</v>
      </c>
      <c r="O208" s="518">
        <f t="shared" si="14"/>
        <v>0</v>
      </c>
      <c r="P208" s="549">
        <v>34034</v>
      </c>
      <c r="Q208" s="550">
        <v>545</v>
      </c>
      <c r="R208" s="549">
        <v>32387</v>
      </c>
      <c r="S208" s="550">
        <v>32932</v>
      </c>
      <c r="T208" s="556">
        <v>96.76</v>
      </c>
      <c r="U208" s="550">
        <v>364</v>
      </c>
      <c r="V208" s="549">
        <v>490</v>
      </c>
      <c r="W208" s="550">
        <v>33241</v>
      </c>
      <c r="X208" s="549">
        <v>5046</v>
      </c>
      <c r="Y208" s="550">
        <v>0</v>
      </c>
      <c r="Z208" s="549">
        <v>19086</v>
      </c>
      <c r="AA208" s="550">
        <v>190</v>
      </c>
      <c r="AB208" s="549">
        <v>18257</v>
      </c>
      <c r="AC208" s="550">
        <v>18447</v>
      </c>
      <c r="AD208" s="556">
        <v>96.65</v>
      </c>
      <c r="AE208" s="550">
        <v>472</v>
      </c>
      <c r="AF208" s="549">
        <v>108</v>
      </c>
      <c r="AG208" s="550">
        <v>18837</v>
      </c>
      <c r="AH208" s="549">
        <v>3003</v>
      </c>
      <c r="AI208" s="550">
        <v>20004143.119999997</v>
      </c>
      <c r="AJ208" s="549">
        <v>27052.9</v>
      </c>
      <c r="AK208" s="550">
        <v>0</v>
      </c>
      <c r="AL208" s="549">
        <v>1557.43</v>
      </c>
      <c r="AM208" s="473">
        <f t="shared" si="15"/>
        <v>42132.998047000008</v>
      </c>
      <c r="AN208" s="141"/>
      <c r="AO208" s="566"/>
      <c r="AP208" s="567"/>
    </row>
    <row r="209" spans="1:42">
      <c r="A209" s="471">
        <v>198</v>
      </c>
      <c r="B209" s="481" t="s">
        <v>433</v>
      </c>
      <c r="C209" s="472" t="s">
        <v>434</v>
      </c>
      <c r="D209" s="550">
        <v>20625</v>
      </c>
      <c r="E209" s="549">
        <v>19561</v>
      </c>
      <c r="F209" s="550">
        <v>19638</v>
      </c>
      <c r="G209" s="549">
        <f t="shared" si="12"/>
        <v>59824</v>
      </c>
      <c r="H209" s="550">
        <v>28434</v>
      </c>
      <c r="I209" s="549">
        <v>29440</v>
      </c>
      <c r="J209" s="550">
        <v>25567</v>
      </c>
      <c r="K209" s="550">
        <f t="shared" si="13"/>
        <v>83441</v>
      </c>
      <c r="L209" s="549">
        <v>0</v>
      </c>
      <c r="M209" s="550">
        <v>0</v>
      </c>
      <c r="N209" s="549">
        <v>0</v>
      </c>
      <c r="O209" s="518">
        <f t="shared" si="14"/>
        <v>0</v>
      </c>
      <c r="P209" s="549">
        <v>65374</v>
      </c>
      <c r="Q209" s="550">
        <v>1277</v>
      </c>
      <c r="R209" s="549">
        <v>61577</v>
      </c>
      <c r="S209" s="550">
        <v>62854</v>
      </c>
      <c r="T209" s="556">
        <v>96.15</v>
      </c>
      <c r="U209" s="550">
        <v>1289</v>
      </c>
      <c r="V209" s="549">
        <v>776</v>
      </c>
      <c r="W209" s="550">
        <v>63642</v>
      </c>
      <c r="X209" s="549">
        <v>8076</v>
      </c>
      <c r="Y209" s="550">
        <v>0</v>
      </c>
      <c r="Z209" s="549">
        <v>92290</v>
      </c>
      <c r="AA209" s="550">
        <v>1054</v>
      </c>
      <c r="AB209" s="549">
        <v>88670</v>
      </c>
      <c r="AC209" s="550">
        <v>89724</v>
      </c>
      <c r="AD209" s="556">
        <v>97.22</v>
      </c>
      <c r="AE209" s="550">
        <v>-1086</v>
      </c>
      <c r="AF209" s="549">
        <v>1059</v>
      </c>
      <c r="AG209" s="550">
        <v>88643</v>
      </c>
      <c r="AH209" s="549">
        <v>10164</v>
      </c>
      <c r="AI209" s="550">
        <v>96209237.540000007</v>
      </c>
      <c r="AJ209" s="549">
        <v>58107.9</v>
      </c>
      <c r="AK209" s="550">
        <v>332.6</v>
      </c>
      <c r="AL209" s="549">
        <v>1378.02</v>
      </c>
      <c r="AM209" s="473">
        <f t="shared" si="15"/>
        <v>80532.177810000008</v>
      </c>
      <c r="AN209" s="141"/>
      <c r="AO209" s="566"/>
      <c r="AP209" s="567"/>
    </row>
    <row r="210" spans="1:42">
      <c r="A210" s="471">
        <v>199</v>
      </c>
      <c r="B210" s="481" t="s">
        <v>435</v>
      </c>
      <c r="C210" s="472" t="s">
        <v>436</v>
      </c>
      <c r="D210" s="550">
        <v>26399</v>
      </c>
      <c r="E210" s="549">
        <v>28256</v>
      </c>
      <c r="F210" s="550">
        <v>28179</v>
      </c>
      <c r="G210" s="549">
        <f t="shared" si="12"/>
        <v>82834</v>
      </c>
      <c r="H210" s="550">
        <v>31351</v>
      </c>
      <c r="I210" s="549">
        <v>23856</v>
      </c>
      <c r="J210" s="550">
        <v>22269</v>
      </c>
      <c r="K210" s="550">
        <f t="shared" si="13"/>
        <v>77476</v>
      </c>
      <c r="L210" s="549">
        <v>0</v>
      </c>
      <c r="M210" s="550">
        <v>0</v>
      </c>
      <c r="N210" s="549">
        <v>0</v>
      </c>
      <c r="O210" s="518">
        <f t="shared" si="14"/>
        <v>0</v>
      </c>
      <c r="P210" s="549">
        <v>93418</v>
      </c>
      <c r="Q210" s="550">
        <v>1051</v>
      </c>
      <c r="R210" s="549">
        <v>89053</v>
      </c>
      <c r="S210" s="550">
        <v>90104</v>
      </c>
      <c r="T210" s="556">
        <v>96.45</v>
      </c>
      <c r="U210" s="550">
        <v>2179</v>
      </c>
      <c r="V210" s="549">
        <v>1196</v>
      </c>
      <c r="W210" s="550">
        <v>92428</v>
      </c>
      <c r="X210" s="549">
        <v>14742</v>
      </c>
      <c r="Y210" s="550">
        <v>0</v>
      </c>
      <c r="Z210" s="549">
        <v>86710</v>
      </c>
      <c r="AA210" s="550">
        <v>1335</v>
      </c>
      <c r="AB210" s="549">
        <v>82539</v>
      </c>
      <c r="AC210" s="550">
        <v>83874</v>
      </c>
      <c r="AD210" s="556">
        <v>96.73</v>
      </c>
      <c r="AE210" s="550">
        <v>-572</v>
      </c>
      <c r="AF210" s="549">
        <v>724</v>
      </c>
      <c r="AG210" s="550">
        <v>82691</v>
      </c>
      <c r="AH210" s="549">
        <v>8550</v>
      </c>
      <c r="AI210" s="550">
        <v>88316937.88000001</v>
      </c>
      <c r="AJ210" s="549">
        <v>78007</v>
      </c>
      <c r="AK210" s="550">
        <v>843</v>
      </c>
      <c r="AL210" s="549">
        <v>1507.86</v>
      </c>
      <c r="AM210" s="473">
        <f t="shared" si="15"/>
        <v>118894.76099999998</v>
      </c>
      <c r="AN210" s="141"/>
      <c r="AO210" s="566"/>
      <c r="AP210" s="567"/>
    </row>
    <row r="211" spans="1:42">
      <c r="A211" s="471">
        <v>200</v>
      </c>
      <c r="B211" s="481" t="s">
        <v>437</v>
      </c>
      <c r="C211" s="472" t="s">
        <v>438</v>
      </c>
      <c r="D211" s="550">
        <v>23394</v>
      </c>
      <c r="E211" s="549">
        <v>22468</v>
      </c>
      <c r="F211" s="550">
        <v>22438</v>
      </c>
      <c r="G211" s="549">
        <f t="shared" si="12"/>
        <v>68300</v>
      </c>
      <c r="H211" s="550">
        <v>20988</v>
      </c>
      <c r="I211" s="549">
        <v>16541</v>
      </c>
      <c r="J211" s="550">
        <v>16956</v>
      </c>
      <c r="K211" s="550">
        <f t="shared" si="13"/>
        <v>54485</v>
      </c>
      <c r="L211" s="549">
        <v>0</v>
      </c>
      <c r="M211" s="550">
        <v>0</v>
      </c>
      <c r="N211" s="549">
        <v>0</v>
      </c>
      <c r="O211" s="518">
        <f t="shared" si="14"/>
        <v>0</v>
      </c>
      <c r="P211" s="549">
        <v>75799</v>
      </c>
      <c r="Q211" s="550">
        <v>1390</v>
      </c>
      <c r="R211" s="549">
        <v>73178</v>
      </c>
      <c r="S211" s="550">
        <v>74568</v>
      </c>
      <c r="T211" s="556">
        <v>98.38</v>
      </c>
      <c r="U211" s="550">
        <v>773</v>
      </c>
      <c r="V211" s="549">
        <v>1158</v>
      </c>
      <c r="W211" s="550">
        <v>75109</v>
      </c>
      <c r="X211" s="549">
        <v>9383</v>
      </c>
      <c r="Y211" s="550">
        <v>0</v>
      </c>
      <c r="Z211" s="549">
        <v>61562</v>
      </c>
      <c r="AA211" s="550">
        <v>497</v>
      </c>
      <c r="AB211" s="549">
        <v>59824</v>
      </c>
      <c r="AC211" s="550">
        <v>60321</v>
      </c>
      <c r="AD211" s="556">
        <v>97.98</v>
      </c>
      <c r="AE211" s="550">
        <v>-638</v>
      </c>
      <c r="AF211" s="549">
        <v>460</v>
      </c>
      <c r="AG211" s="550">
        <v>59646</v>
      </c>
      <c r="AH211" s="549">
        <v>5540</v>
      </c>
      <c r="AI211" s="550">
        <v>64171611.450000003</v>
      </c>
      <c r="AJ211" s="549">
        <v>60860</v>
      </c>
      <c r="AK211" s="550">
        <v>159.4</v>
      </c>
      <c r="AL211" s="549">
        <v>1458.45</v>
      </c>
      <c r="AM211" s="473">
        <f t="shared" si="15"/>
        <v>88993.743930000011</v>
      </c>
      <c r="AN211" s="141"/>
      <c r="AO211" s="566"/>
      <c r="AP211" s="567"/>
    </row>
    <row r="212" spans="1:42">
      <c r="A212" s="471">
        <v>201</v>
      </c>
      <c r="B212" s="481" t="s">
        <v>439</v>
      </c>
      <c r="C212" s="472" t="s">
        <v>440</v>
      </c>
      <c r="D212" s="550">
        <v>20717</v>
      </c>
      <c r="E212" s="549">
        <v>20359</v>
      </c>
      <c r="F212" s="550">
        <v>20147</v>
      </c>
      <c r="G212" s="549">
        <f t="shared" si="12"/>
        <v>61223</v>
      </c>
      <c r="H212" s="550">
        <v>29491</v>
      </c>
      <c r="I212" s="549">
        <v>21958</v>
      </c>
      <c r="J212" s="550">
        <v>20382</v>
      </c>
      <c r="K212" s="550">
        <f t="shared" si="13"/>
        <v>71831</v>
      </c>
      <c r="L212" s="549">
        <v>0</v>
      </c>
      <c r="M212" s="550">
        <v>0</v>
      </c>
      <c r="N212" s="549">
        <v>0</v>
      </c>
      <c r="O212" s="518">
        <f t="shared" si="14"/>
        <v>0</v>
      </c>
      <c r="P212" s="549">
        <v>68666</v>
      </c>
      <c r="Q212" s="550">
        <v>918</v>
      </c>
      <c r="R212" s="549">
        <v>64348</v>
      </c>
      <c r="S212" s="550">
        <v>65266</v>
      </c>
      <c r="T212" s="556">
        <v>95.05</v>
      </c>
      <c r="U212" s="550">
        <v>2400</v>
      </c>
      <c r="V212" s="549">
        <v>829</v>
      </c>
      <c r="W212" s="550">
        <v>67577</v>
      </c>
      <c r="X212" s="549">
        <v>9564</v>
      </c>
      <c r="Y212" s="550">
        <v>0</v>
      </c>
      <c r="Z212" s="549">
        <v>81690</v>
      </c>
      <c r="AA212" s="550">
        <v>210</v>
      </c>
      <c r="AB212" s="549">
        <v>79851</v>
      </c>
      <c r="AC212" s="550">
        <v>80061</v>
      </c>
      <c r="AD212" s="556">
        <v>98.01</v>
      </c>
      <c r="AE212" s="550">
        <v>1074</v>
      </c>
      <c r="AF212" s="549">
        <v>212</v>
      </c>
      <c r="AG212" s="550">
        <v>81137</v>
      </c>
      <c r="AH212" s="549">
        <v>9983</v>
      </c>
      <c r="AI212" s="550">
        <v>84785503.38000001</v>
      </c>
      <c r="AJ212" s="549">
        <v>60792.4</v>
      </c>
      <c r="AK212" s="550">
        <v>661</v>
      </c>
      <c r="AL212" s="549">
        <v>1384.16</v>
      </c>
      <c r="AM212" s="473">
        <f t="shared" si="15"/>
        <v>85061.338144000008</v>
      </c>
      <c r="AN212" s="141"/>
      <c r="AO212" s="566"/>
      <c r="AP212" s="567"/>
    </row>
    <row r="213" spans="1:42">
      <c r="A213" s="471">
        <v>202</v>
      </c>
      <c r="B213" s="481" t="s">
        <v>441</v>
      </c>
      <c r="C213" s="472" t="s">
        <v>442</v>
      </c>
      <c r="D213" s="550">
        <v>15649</v>
      </c>
      <c r="E213" s="549">
        <v>15518</v>
      </c>
      <c r="F213" s="550">
        <v>15399</v>
      </c>
      <c r="G213" s="549">
        <f t="shared" si="12"/>
        <v>46566</v>
      </c>
      <c r="H213" s="550">
        <v>21088</v>
      </c>
      <c r="I213" s="549">
        <v>19781</v>
      </c>
      <c r="J213" s="550">
        <v>17512</v>
      </c>
      <c r="K213" s="550">
        <f t="shared" si="13"/>
        <v>58381</v>
      </c>
      <c r="L213" s="549">
        <v>0</v>
      </c>
      <c r="M213" s="550">
        <v>0</v>
      </c>
      <c r="N213" s="549">
        <v>0</v>
      </c>
      <c r="O213" s="518">
        <f t="shared" si="14"/>
        <v>0</v>
      </c>
      <c r="P213" s="549">
        <v>53144</v>
      </c>
      <c r="Q213" s="550">
        <v>451</v>
      </c>
      <c r="R213" s="549">
        <v>50724</v>
      </c>
      <c r="S213" s="550">
        <v>51175</v>
      </c>
      <c r="T213" s="556">
        <v>96.29</v>
      </c>
      <c r="U213" s="550">
        <v>876</v>
      </c>
      <c r="V213" s="549">
        <v>612</v>
      </c>
      <c r="W213" s="550">
        <v>52212</v>
      </c>
      <c r="X213" s="549">
        <v>7605</v>
      </c>
      <c r="Y213" s="550">
        <v>0</v>
      </c>
      <c r="Z213" s="549">
        <v>65805</v>
      </c>
      <c r="AA213" s="550">
        <v>1209</v>
      </c>
      <c r="AB213" s="549">
        <v>62270</v>
      </c>
      <c r="AC213" s="550">
        <v>63479</v>
      </c>
      <c r="AD213" s="556">
        <v>96.47</v>
      </c>
      <c r="AE213" s="550">
        <v>-666</v>
      </c>
      <c r="AF213" s="549">
        <v>234</v>
      </c>
      <c r="AG213" s="550">
        <v>61838</v>
      </c>
      <c r="AH213" s="549">
        <v>5037</v>
      </c>
      <c r="AI213" s="550">
        <v>68174202.109999999</v>
      </c>
      <c r="AJ213" s="549">
        <v>41945.7</v>
      </c>
      <c r="AK213" s="550">
        <v>44.3</v>
      </c>
      <c r="AL213" s="549">
        <v>1581.67</v>
      </c>
      <c r="AM213" s="473">
        <f t="shared" si="15"/>
        <v>66414.323300000004</v>
      </c>
      <c r="AN213" s="141"/>
      <c r="AO213" s="566"/>
      <c r="AP213" s="567"/>
    </row>
    <row r="214" spans="1:42">
      <c r="A214" s="471">
        <v>203</v>
      </c>
      <c r="B214" s="481" t="s">
        <v>443</v>
      </c>
      <c r="C214" s="472" t="s">
        <v>444</v>
      </c>
      <c r="D214" s="550">
        <v>8945</v>
      </c>
      <c r="E214" s="549">
        <v>8694</v>
      </c>
      <c r="F214" s="550">
        <v>8706</v>
      </c>
      <c r="G214" s="549">
        <f t="shared" si="12"/>
        <v>26345</v>
      </c>
      <c r="H214" s="550">
        <v>8057</v>
      </c>
      <c r="I214" s="549">
        <v>3772</v>
      </c>
      <c r="J214" s="550">
        <v>4527</v>
      </c>
      <c r="K214" s="550">
        <f t="shared" si="13"/>
        <v>16356</v>
      </c>
      <c r="L214" s="549">
        <v>0</v>
      </c>
      <c r="M214" s="550">
        <v>0</v>
      </c>
      <c r="N214" s="549">
        <v>0</v>
      </c>
      <c r="O214" s="518">
        <f t="shared" si="14"/>
        <v>0</v>
      </c>
      <c r="P214" s="549">
        <v>29223</v>
      </c>
      <c r="Q214" s="550">
        <v>420</v>
      </c>
      <c r="R214" s="549">
        <v>28267</v>
      </c>
      <c r="S214" s="550">
        <v>28687</v>
      </c>
      <c r="T214" s="556">
        <v>98.17</v>
      </c>
      <c r="U214" s="550">
        <v>238</v>
      </c>
      <c r="V214" s="549">
        <v>312</v>
      </c>
      <c r="W214" s="550">
        <v>28817</v>
      </c>
      <c r="X214" s="549">
        <v>3403</v>
      </c>
      <c r="Y214" s="550">
        <v>0</v>
      </c>
      <c r="Z214" s="549">
        <v>15308</v>
      </c>
      <c r="AA214" s="550">
        <v>51</v>
      </c>
      <c r="AB214" s="549">
        <v>14981</v>
      </c>
      <c r="AC214" s="550">
        <v>15032</v>
      </c>
      <c r="AD214" s="556">
        <v>98.2</v>
      </c>
      <c r="AE214" s="550">
        <v>-1942</v>
      </c>
      <c r="AF214" s="549">
        <v>67</v>
      </c>
      <c r="AG214" s="550">
        <v>13106</v>
      </c>
      <c r="AH214" s="549">
        <v>-1665</v>
      </c>
      <c r="AI214" s="550">
        <v>18109503.010000002</v>
      </c>
      <c r="AJ214" s="549">
        <v>20550.099999999999</v>
      </c>
      <c r="AK214" s="550">
        <v>0</v>
      </c>
      <c r="AL214" s="549">
        <v>1643.09</v>
      </c>
      <c r="AM214" s="473">
        <f t="shared" si="15"/>
        <v>33765.663808999991</v>
      </c>
      <c r="AN214" s="141"/>
      <c r="AO214" s="566"/>
      <c r="AP214" s="567"/>
    </row>
    <row r="215" spans="1:42">
      <c r="A215" s="471">
        <v>204</v>
      </c>
      <c r="B215" s="481" t="s">
        <v>445</v>
      </c>
      <c r="C215" s="472" t="s">
        <v>446</v>
      </c>
      <c r="D215" s="550">
        <v>21568</v>
      </c>
      <c r="E215" s="549">
        <v>20905</v>
      </c>
      <c r="F215" s="550">
        <v>21156</v>
      </c>
      <c r="G215" s="549">
        <f t="shared" si="12"/>
        <v>63629</v>
      </c>
      <c r="H215" s="550">
        <v>28664</v>
      </c>
      <c r="I215" s="549">
        <v>28723.35</v>
      </c>
      <c r="J215" s="550">
        <v>33532</v>
      </c>
      <c r="K215" s="550">
        <f t="shared" si="13"/>
        <v>90919.35</v>
      </c>
      <c r="L215" s="549">
        <v>0</v>
      </c>
      <c r="M215" s="550">
        <v>0</v>
      </c>
      <c r="N215" s="549">
        <v>0</v>
      </c>
      <c r="O215" s="518">
        <f t="shared" si="14"/>
        <v>0</v>
      </c>
      <c r="P215" s="549">
        <v>70147</v>
      </c>
      <c r="Q215" s="550">
        <v>1220</v>
      </c>
      <c r="R215" s="549">
        <v>67204</v>
      </c>
      <c r="S215" s="550">
        <v>68424</v>
      </c>
      <c r="T215" s="556">
        <v>97.54</v>
      </c>
      <c r="U215" s="550">
        <v>1255</v>
      </c>
      <c r="V215" s="549">
        <v>1163</v>
      </c>
      <c r="W215" s="550">
        <v>69622</v>
      </c>
      <c r="X215" s="549">
        <v>9881</v>
      </c>
      <c r="Y215" s="550">
        <v>0</v>
      </c>
      <c r="Z215" s="549">
        <v>99439</v>
      </c>
      <c r="AA215" s="550">
        <v>793</v>
      </c>
      <c r="AB215" s="549">
        <v>96823</v>
      </c>
      <c r="AC215" s="550">
        <v>97616</v>
      </c>
      <c r="AD215" s="556">
        <v>98.17</v>
      </c>
      <c r="AE215" s="550">
        <v>-4353</v>
      </c>
      <c r="AF215" s="549">
        <v>988</v>
      </c>
      <c r="AG215" s="550">
        <v>93458</v>
      </c>
      <c r="AH215" s="549">
        <v>9216</v>
      </c>
      <c r="AI215" s="550">
        <v>106181860.33999999</v>
      </c>
      <c r="AJ215" s="549">
        <v>54970</v>
      </c>
      <c r="AK215" s="550">
        <v>0</v>
      </c>
      <c r="AL215" s="549">
        <v>1531.34</v>
      </c>
      <c r="AM215" s="473">
        <f t="shared" si="15"/>
        <v>84177.7598</v>
      </c>
      <c r="AN215" s="141"/>
      <c r="AO215" s="566"/>
      <c r="AP215" s="567"/>
    </row>
    <row r="216" spans="1:42">
      <c r="A216" s="471">
        <v>205</v>
      </c>
      <c r="B216" s="481" t="s">
        <v>447</v>
      </c>
      <c r="C216" s="472" t="s">
        <v>448</v>
      </c>
      <c r="D216" s="550">
        <v>33813</v>
      </c>
      <c r="E216" s="549">
        <v>31778</v>
      </c>
      <c r="F216" s="550">
        <v>31726</v>
      </c>
      <c r="G216" s="549">
        <f t="shared" si="12"/>
        <v>97317</v>
      </c>
      <c r="H216" s="550">
        <v>17371</v>
      </c>
      <c r="I216" s="549">
        <v>15039</v>
      </c>
      <c r="J216" s="550">
        <v>14040</v>
      </c>
      <c r="K216" s="550">
        <f t="shared" si="13"/>
        <v>46450</v>
      </c>
      <c r="L216" s="549">
        <v>0</v>
      </c>
      <c r="M216" s="550">
        <v>0</v>
      </c>
      <c r="N216" s="549">
        <v>0</v>
      </c>
      <c r="O216" s="518">
        <f t="shared" si="14"/>
        <v>0</v>
      </c>
      <c r="P216" s="549">
        <v>110249</v>
      </c>
      <c r="Q216" s="550">
        <v>1690</v>
      </c>
      <c r="R216" s="549">
        <v>104461</v>
      </c>
      <c r="S216" s="550">
        <v>106151</v>
      </c>
      <c r="T216" s="556">
        <v>96.28</v>
      </c>
      <c r="U216" s="550">
        <v>1917</v>
      </c>
      <c r="V216" s="549">
        <v>2377</v>
      </c>
      <c r="W216" s="550">
        <v>108755</v>
      </c>
      <c r="X216" s="549">
        <v>14213</v>
      </c>
      <c r="Y216" s="550">
        <v>0</v>
      </c>
      <c r="Z216" s="549">
        <v>52221</v>
      </c>
      <c r="AA216" s="550">
        <v>673</v>
      </c>
      <c r="AB216" s="549">
        <v>49908</v>
      </c>
      <c r="AC216" s="550">
        <v>50581</v>
      </c>
      <c r="AD216" s="556">
        <v>96.86</v>
      </c>
      <c r="AE216" s="550">
        <v>-1652</v>
      </c>
      <c r="AF216" s="549">
        <v>1566</v>
      </c>
      <c r="AG216" s="550">
        <v>49822</v>
      </c>
      <c r="AH216" s="549">
        <v>3957</v>
      </c>
      <c r="AI216" s="550">
        <v>55637777.170000002</v>
      </c>
      <c r="AJ216" s="549">
        <v>94965.37</v>
      </c>
      <c r="AK216" s="550">
        <v>0</v>
      </c>
      <c r="AL216" s="549">
        <v>1398.53</v>
      </c>
      <c r="AM216" s="473">
        <f t="shared" si="15"/>
        <v>132811.91890609998</v>
      </c>
      <c r="AN216" s="141"/>
      <c r="AO216" s="566"/>
      <c r="AP216" s="567"/>
    </row>
    <row r="217" spans="1:42">
      <c r="A217" s="471">
        <v>206</v>
      </c>
      <c r="B217" s="481" t="s">
        <v>449</v>
      </c>
      <c r="C217" s="472" t="s">
        <v>450</v>
      </c>
      <c r="D217" s="550">
        <v>17084</v>
      </c>
      <c r="E217" s="549">
        <v>16710</v>
      </c>
      <c r="F217" s="550">
        <v>16416</v>
      </c>
      <c r="G217" s="549">
        <f t="shared" si="12"/>
        <v>50210</v>
      </c>
      <c r="H217" s="550">
        <v>13163</v>
      </c>
      <c r="I217" s="549">
        <v>11831</v>
      </c>
      <c r="J217" s="550">
        <v>11734</v>
      </c>
      <c r="K217" s="550">
        <f t="shared" si="13"/>
        <v>36728</v>
      </c>
      <c r="L217" s="549">
        <v>0</v>
      </c>
      <c r="M217" s="550">
        <v>0</v>
      </c>
      <c r="N217" s="549">
        <v>0</v>
      </c>
      <c r="O217" s="518">
        <f t="shared" si="14"/>
        <v>0</v>
      </c>
      <c r="P217" s="549">
        <v>56122</v>
      </c>
      <c r="Q217" s="550">
        <v>557</v>
      </c>
      <c r="R217" s="549">
        <v>53775</v>
      </c>
      <c r="S217" s="550">
        <v>54332</v>
      </c>
      <c r="T217" s="556">
        <v>96.81</v>
      </c>
      <c r="U217" s="550">
        <v>1275</v>
      </c>
      <c r="V217" s="549">
        <v>463</v>
      </c>
      <c r="W217" s="550">
        <v>55513</v>
      </c>
      <c r="X217" s="549">
        <v>7855</v>
      </c>
      <c r="Y217" s="550">
        <v>0</v>
      </c>
      <c r="Z217" s="549">
        <v>50385</v>
      </c>
      <c r="AA217" s="550">
        <v>182</v>
      </c>
      <c r="AB217" s="549">
        <v>41008</v>
      </c>
      <c r="AC217" s="550">
        <v>41190</v>
      </c>
      <c r="AD217" s="556">
        <v>81.75</v>
      </c>
      <c r="AE217" s="550">
        <v>-2703</v>
      </c>
      <c r="AF217" s="549">
        <v>266</v>
      </c>
      <c r="AG217" s="550">
        <v>38571</v>
      </c>
      <c r="AH217" s="549">
        <v>4703</v>
      </c>
      <c r="AI217" s="550">
        <v>55011216.710000001</v>
      </c>
      <c r="AJ217" s="549">
        <v>45016.11</v>
      </c>
      <c r="AK217" s="550">
        <v>0</v>
      </c>
      <c r="AL217" s="549">
        <v>1644.4</v>
      </c>
      <c r="AM217" s="473">
        <f t="shared" si="15"/>
        <v>74024.491284000003</v>
      </c>
      <c r="AN217" s="141"/>
      <c r="AO217" s="566"/>
      <c r="AP217" s="567"/>
    </row>
    <row r="218" spans="1:42">
      <c r="A218" s="471">
        <v>207</v>
      </c>
      <c r="B218" s="481" t="s">
        <v>451</v>
      </c>
      <c r="C218" s="472" t="s">
        <v>452</v>
      </c>
      <c r="D218" s="550">
        <v>10403</v>
      </c>
      <c r="E218" s="549">
        <v>10150</v>
      </c>
      <c r="F218" s="550">
        <v>10194</v>
      </c>
      <c r="G218" s="549">
        <f t="shared" si="12"/>
        <v>30747</v>
      </c>
      <c r="H218" s="550">
        <v>10178</v>
      </c>
      <c r="I218" s="549">
        <v>9766</v>
      </c>
      <c r="J218" s="550">
        <v>9490</v>
      </c>
      <c r="K218" s="550">
        <f t="shared" si="13"/>
        <v>29434</v>
      </c>
      <c r="L218" s="549">
        <v>0</v>
      </c>
      <c r="M218" s="550">
        <v>0</v>
      </c>
      <c r="N218" s="549">
        <v>0</v>
      </c>
      <c r="O218" s="518">
        <f t="shared" si="14"/>
        <v>0</v>
      </c>
      <c r="P218" s="549">
        <v>35343</v>
      </c>
      <c r="Q218" s="550">
        <v>372</v>
      </c>
      <c r="R218" s="549">
        <v>34036</v>
      </c>
      <c r="S218" s="550">
        <v>34408</v>
      </c>
      <c r="T218" s="556">
        <v>97.35</v>
      </c>
      <c r="U218" s="550">
        <v>651</v>
      </c>
      <c r="V218" s="549">
        <v>329</v>
      </c>
      <c r="W218" s="550">
        <v>35016</v>
      </c>
      <c r="X218" s="549">
        <v>4080</v>
      </c>
      <c r="Y218" s="550">
        <v>0</v>
      </c>
      <c r="Z218" s="549">
        <v>35512</v>
      </c>
      <c r="AA218" s="550">
        <v>109</v>
      </c>
      <c r="AB218" s="549">
        <v>34638</v>
      </c>
      <c r="AC218" s="550">
        <v>34747</v>
      </c>
      <c r="AD218" s="556">
        <v>97.85</v>
      </c>
      <c r="AE218" s="550">
        <v>-1055</v>
      </c>
      <c r="AF218" s="549">
        <v>384</v>
      </c>
      <c r="AG218" s="550">
        <v>33967</v>
      </c>
      <c r="AH218" s="549">
        <v>3382</v>
      </c>
      <c r="AI218" s="550">
        <v>37034874.859999999</v>
      </c>
      <c r="AJ218" s="549">
        <v>28099.4</v>
      </c>
      <c r="AK218" s="550">
        <v>0</v>
      </c>
      <c r="AL218" s="549">
        <v>1500.95</v>
      </c>
      <c r="AM218" s="473">
        <f t="shared" si="15"/>
        <v>42175.794430000009</v>
      </c>
      <c r="AN218" s="141"/>
      <c r="AO218" s="566"/>
      <c r="AP218" s="567"/>
    </row>
    <row r="219" spans="1:42">
      <c r="A219" s="471">
        <v>208</v>
      </c>
      <c r="B219" s="481" t="s">
        <v>453</v>
      </c>
      <c r="C219" s="472" t="s">
        <v>454</v>
      </c>
      <c r="D219" s="550">
        <v>25801</v>
      </c>
      <c r="E219" s="549">
        <v>25848</v>
      </c>
      <c r="F219" s="550">
        <v>25796</v>
      </c>
      <c r="G219" s="549">
        <f t="shared" si="12"/>
        <v>77445</v>
      </c>
      <c r="H219" s="550">
        <v>15194</v>
      </c>
      <c r="I219" s="549">
        <v>13867</v>
      </c>
      <c r="J219" s="550">
        <v>14135</v>
      </c>
      <c r="K219" s="550">
        <f t="shared" si="13"/>
        <v>43196</v>
      </c>
      <c r="L219" s="549">
        <v>0</v>
      </c>
      <c r="M219" s="550">
        <v>0</v>
      </c>
      <c r="N219" s="549">
        <v>0</v>
      </c>
      <c r="O219" s="518">
        <f t="shared" si="14"/>
        <v>0</v>
      </c>
      <c r="P219" s="549">
        <v>86504</v>
      </c>
      <c r="Q219" s="550">
        <v>1458</v>
      </c>
      <c r="R219" s="549">
        <v>83772</v>
      </c>
      <c r="S219" s="550">
        <v>85230</v>
      </c>
      <c r="T219" s="556">
        <v>98.53</v>
      </c>
      <c r="U219" s="550">
        <v>1236</v>
      </c>
      <c r="V219" s="549">
        <v>1256</v>
      </c>
      <c r="W219" s="550">
        <v>86264</v>
      </c>
      <c r="X219" s="549">
        <v>11960</v>
      </c>
      <c r="Y219" s="550">
        <v>0</v>
      </c>
      <c r="Z219" s="549">
        <v>48966</v>
      </c>
      <c r="AA219" s="550">
        <v>781</v>
      </c>
      <c r="AB219" s="549">
        <v>47875</v>
      </c>
      <c r="AC219" s="550">
        <v>48656</v>
      </c>
      <c r="AD219" s="556">
        <v>99.37</v>
      </c>
      <c r="AE219" s="550">
        <v>677</v>
      </c>
      <c r="AF219" s="549">
        <v>487</v>
      </c>
      <c r="AG219" s="550">
        <v>49039</v>
      </c>
      <c r="AH219" s="549">
        <v>6265</v>
      </c>
      <c r="AI219" s="550">
        <v>51433668.57</v>
      </c>
      <c r="AJ219" s="549">
        <v>60386</v>
      </c>
      <c r="AK219" s="550">
        <v>0</v>
      </c>
      <c r="AL219" s="549">
        <v>1583.29</v>
      </c>
      <c r="AM219" s="473">
        <f t="shared" si="15"/>
        <v>95608.549939999997</v>
      </c>
      <c r="AN219" s="141"/>
      <c r="AO219" s="566"/>
      <c r="AP219" s="567"/>
    </row>
    <row r="220" spans="1:42">
      <c r="A220" s="471">
        <v>209</v>
      </c>
      <c r="B220" s="481" t="s">
        <v>455</v>
      </c>
      <c r="C220" s="472" t="s">
        <v>456</v>
      </c>
      <c r="D220" s="550">
        <v>9332</v>
      </c>
      <c r="E220" s="549">
        <v>8907</v>
      </c>
      <c r="F220" s="550">
        <v>8948</v>
      </c>
      <c r="G220" s="549">
        <f t="shared" si="12"/>
        <v>27187</v>
      </c>
      <c r="H220" s="550">
        <v>4250</v>
      </c>
      <c r="I220" s="549">
        <v>4125</v>
      </c>
      <c r="J220" s="550">
        <v>3614</v>
      </c>
      <c r="K220" s="550">
        <f t="shared" si="13"/>
        <v>11989</v>
      </c>
      <c r="L220" s="549">
        <v>0</v>
      </c>
      <c r="M220" s="550">
        <v>0</v>
      </c>
      <c r="N220" s="549">
        <v>0</v>
      </c>
      <c r="O220" s="518">
        <f t="shared" si="14"/>
        <v>0</v>
      </c>
      <c r="P220" s="549">
        <v>31162</v>
      </c>
      <c r="Q220" s="550">
        <v>189</v>
      </c>
      <c r="R220" s="549">
        <v>30664</v>
      </c>
      <c r="S220" s="550">
        <v>30853</v>
      </c>
      <c r="T220" s="556">
        <v>99.01</v>
      </c>
      <c r="U220" s="550">
        <v>-71</v>
      </c>
      <c r="V220" s="549">
        <v>177</v>
      </c>
      <c r="W220" s="550">
        <v>30770</v>
      </c>
      <c r="X220" s="549">
        <v>3569</v>
      </c>
      <c r="Y220" s="550">
        <v>0</v>
      </c>
      <c r="Z220" s="549">
        <v>13574</v>
      </c>
      <c r="AA220" s="550">
        <v>85</v>
      </c>
      <c r="AB220" s="549">
        <v>13227</v>
      </c>
      <c r="AC220" s="550">
        <v>13312</v>
      </c>
      <c r="AD220" s="556">
        <v>98.07</v>
      </c>
      <c r="AE220" s="550">
        <v>-125</v>
      </c>
      <c r="AF220" s="549">
        <v>44</v>
      </c>
      <c r="AG220" s="550">
        <v>13146</v>
      </c>
      <c r="AH220" s="549">
        <v>1490</v>
      </c>
      <c r="AI220" s="550">
        <v>13884958.840000002</v>
      </c>
      <c r="AJ220" s="549">
        <v>22539</v>
      </c>
      <c r="AK220" s="550">
        <v>0</v>
      </c>
      <c r="AL220" s="549">
        <v>1459.88</v>
      </c>
      <c r="AM220" s="473">
        <f t="shared" si="15"/>
        <v>32904.235320000007</v>
      </c>
      <c r="AN220" s="141"/>
      <c r="AO220" s="566"/>
      <c r="AP220" s="567"/>
    </row>
    <row r="221" spans="1:42">
      <c r="A221" s="471">
        <v>210</v>
      </c>
      <c r="B221" s="481" t="s">
        <v>457</v>
      </c>
      <c r="C221" s="472" t="s">
        <v>458</v>
      </c>
      <c r="D221" s="550">
        <v>45655</v>
      </c>
      <c r="E221" s="549">
        <v>37304</v>
      </c>
      <c r="F221" s="550">
        <v>38036</v>
      </c>
      <c r="G221" s="549">
        <f t="shared" si="12"/>
        <v>120995</v>
      </c>
      <c r="H221" s="550">
        <v>26181</v>
      </c>
      <c r="I221" s="549">
        <v>23717</v>
      </c>
      <c r="J221" s="550">
        <v>22183</v>
      </c>
      <c r="K221" s="550">
        <f t="shared" si="13"/>
        <v>72081</v>
      </c>
      <c r="L221" s="549">
        <v>0</v>
      </c>
      <c r="M221" s="550">
        <v>0</v>
      </c>
      <c r="N221" s="549">
        <v>0</v>
      </c>
      <c r="O221" s="518">
        <f t="shared" si="14"/>
        <v>0</v>
      </c>
      <c r="P221" s="549">
        <v>133094</v>
      </c>
      <c r="Q221" s="550">
        <v>2232</v>
      </c>
      <c r="R221" s="549">
        <v>129016</v>
      </c>
      <c r="S221" s="550">
        <v>131248</v>
      </c>
      <c r="T221" s="556">
        <v>98.61</v>
      </c>
      <c r="U221" s="550">
        <v>283</v>
      </c>
      <c r="V221" s="549">
        <v>1885</v>
      </c>
      <c r="W221" s="550">
        <v>131184</v>
      </c>
      <c r="X221" s="549">
        <v>11591</v>
      </c>
      <c r="Y221" s="550">
        <v>0</v>
      </c>
      <c r="Z221" s="549">
        <v>81671</v>
      </c>
      <c r="AA221" s="550">
        <v>1031</v>
      </c>
      <c r="AB221" s="549">
        <v>78835</v>
      </c>
      <c r="AC221" s="550">
        <v>79866</v>
      </c>
      <c r="AD221" s="556">
        <v>97.79</v>
      </c>
      <c r="AE221" s="550">
        <v>-594</v>
      </c>
      <c r="AF221" s="549">
        <v>671</v>
      </c>
      <c r="AG221" s="550">
        <v>78912</v>
      </c>
      <c r="AH221" s="549">
        <v>9656</v>
      </c>
      <c r="AI221" s="550">
        <v>83576090.359999999</v>
      </c>
      <c r="AJ221" s="549">
        <v>93010.75</v>
      </c>
      <c r="AK221" s="550">
        <v>47.7</v>
      </c>
      <c r="AL221" s="549">
        <v>1590.39</v>
      </c>
      <c r="AM221" s="473">
        <f t="shared" si="15"/>
        <v>147999.22829550001</v>
      </c>
      <c r="AN221" s="141"/>
      <c r="AO221" s="566"/>
      <c r="AP221" s="567"/>
    </row>
    <row r="222" spans="1:42">
      <c r="A222" s="471">
        <v>211</v>
      </c>
      <c r="B222" s="481" t="s">
        <v>459</v>
      </c>
      <c r="C222" s="472" t="s">
        <v>460</v>
      </c>
      <c r="D222" s="550">
        <v>8663</v>
      </c>
      <c r="E222" s="549">
        <v>8203</v>
      </c>
      <c r="F222" s="550">
        <v>8097</v>
      </c>
      <c r="G222" s="549">
        <f t="shared" si="12"/>
        <v>24963</v>
      </c>
      <c r="H222" s="550">
        <v>6338</v>
      </c>
      <c r="I222" s="549">
        <v>2637</v>
      </c>
      <c r="J222" s="550">
        <v>2708</v>
      </c>
      <c r="K222" s="550">
        <f t="shared" si="13"/>
        <v>11683</v>
      </c>
      <c r="L222" s="549">
        <v>0</v>
      </c>
      <c r="M222" s="550">
        <v>0</v>
      </c>
      <c r="N222" s="549">
        <v>0</v>
      </c>
      <c r="O222" s="518">
        <f t="shared" si="14"/>
        <v>0</v>
      </c>
      <c r="P222" s="549">
        <v>27885</v>
      </c>
      <c r="Q222" s="550">
        <v>450</v>
      </c>
      <c r="R222" s="549">
        <v>27018</v>
      </c>
      <c r="S222" s="550">
        <v>27468</v>
      </c>
      <c r="T222" s="556">
        <v>98.5</v>
      </c>
      <c r="U222" s="550">
        <v>429</v>
      </c>
      <c r="V222" s="549">
        <v>410</v>
      </c>
      <c r="W222" s="550">
        <v>27857</v>
      </c>
      <c r="X222" s="549">
        <v>3659</v>
      </c>
      <c r="Y222" s="550">
        <v>0</v>
      </c>
      <c r="Z222" s="549">
        <v>12673</v>
      </c>
      <c r="AA222" s="550">
        <v>91</v>
      </c>
      <c r="AB222" s="549">
        <v>12313</v>
      </c>
      <c r="AC222" s="550">
        <v>12404</v>
      </c>
      <c r="AD222" s="556">
        <v>97.88</v>
      </c>
      <c r="AE222" s="550">
        <v>-83</v>
      </c>
      <c r="AF222" s="549">
        <v>146</v>
      </c>
      <c r="AG222" s="550">
        <v>12376</v>
      </c>
      <c r="AH222" s="549">
        <v>1047</v>
      </c>
      <c r="AI222" s="550">
        <v>13148734.039999999</v>
      </c>
      <c r="AJ222" s="549">
        <v>18437.5</v>
      </c>
      <c r="AK222" s="550">
        <v>1554.5</v>
      </c>
      <c r="AL222" s="549">
        <v>1549.46</v>
      </c>
      <c r="AM222" s="473">
        <f t="shared" si="15"/>
        <v>30976.804319999999</v>
      </c>
      <c r="AN222" s="141"/>
      <c r="AO222" s="566"/>
      <c r="AP222" s="567"/>
    </row>
    <row r="223" spans="1:42">
      <c r="A223" s="471">
        <v>212</v>
      </c>
      <c r="B223" s="481" t="s">
        <v>461</v>
      </c>
      <c r="C223" s="472" t="s">
        <v>462</v>
      </c>
      <c r="D223" s="550">
        <v>20971</v>
      </c>
      <c r="E223" s="549">
        <v>21869</v>
      </c>
      <c r="F223" s="550">
        <v>21919</v>
      </c>
      <c r="G223" s="549">
        <f t="shared" si="12"/>
        <v>64759</v>
      </c>
      <c r="H223" s="550">
        <v>18128</v>
      </c>
      <c r="I223" s="549">
        <v>18422</v>
      </c>
      <c r="J223" s="550">
        <v>16304</v>
      </c>
      <c r="K223" s="550">
        <f t="shared" si="13"/>
        <v>52854</v>
      </c>
      <c r="L223" s="549">
        <v>0</v>
      </c>
      <c r="M223" s="550">
        <v>0</v>
      </c>
      <c r="N223" s="549">
        <v>0</v>
      </c>
      <c r="O223" s="518">
        <f t="shared" si="14"/>
        <v>0</v>
      </c>
      <c r="P223" s="549">
        <v>71317</v>
      </c>
      <c r="Q223" s="550">
        <v>772</v>
      </c>
      <c r="R223" s="549">
        <v>67097</v>
      </c>
      <c r="S223" s="550">
        <v>67869</v>
      </c>
      <c r="T223" s="556">
        <v>95.17</v>
      </c>
      <c r="U223" s="550">
        <v>1864</v>
      </c>
      <c r="V223" s="549">
        <v>1098</v>
      </c>
      <c r="W223" s="550">
        <v>70059</v>
      </c>
      <c r="X223" s="549">
        <v>11504</v>
      </c>
      <c r="Y223" s="550">
        <v>0</v>
      </c>
      <c r="Z223" s="549">
        <v>62188</v>
      </c>
      <c r="AA223" s="550">
        <v>537</v>
      </c>
      <c r="AB223" s="549">
        <v>59504</v>
      </c>
      <c r="AC223" s="550">
        <v>60041</v>
      </c>
      <c r="AD223" s="556">
        <v>96.55</v>
      </c>
      <c r="AE223" s="550">
        <v>-1668</v>
      </c>
      <c r="AF223" s="549">
        <v>780</v>
      </c>
      <c r="AG223" s="550">
        <v>58616</v>
      </c>
      <c r="AH223" s="549">
        <v>9019</v>
      </c>
      <c r="AI223" s="550">
        <v>65571863.509999998</v>
      </c>
      <c r="AJ223" s="549">
        <v>63888</v>
      </c>
      <c r="AK223" s="550">
        <v>0</v>
      </c>
      <c r="AL223" s="549">
        <v>1537.33</v>
      </c>
      <c r="AM223" s="473">
        <f t="shared" si="15"/>
        <v>98216.939039999997</v>
      </c>
      <c r="AN223" s="141"/>
      <c r="AO223" s="566"/>
      <c r="AP223" s="567"/>
    </row>
    <row r="224" spans="1:42">
      <c r="A224" s="471">
        <v>213</v>
      </c>
      <c r="B224" s="481" t="s">
        <v>463</v>
      </c>
      <c r="C224" s="472" t="s">
        <v>464</v>
      </c>
      <c r="D224" s="550">
        <v>11893</v>
      </c>
      <c r="E224" s="549">
        <v>11636</v>
      </c>
      <c r="F224" s="550">
        <v>11599</v>
      </c>
      <c r="G224" s="549">
        <f t="shared" si="12"/>
        <v>35128</v>
      </c>
      <c r="H224" s="550">
        <v>4847</v>
      </c>
      <c r="I224" s="549">
        <v>4165</v>
      </c>
      <c r="J224" s="550">
        <v>4074</v>
      </c>
      <c r="K224" s="550">
        <f t="shared" si="13"/>
        <v>13086</v>
      </c>
      <c r="L224" s="549">
        <v>0</v>
      </c>
      <c r="M224" s="550">
        <v>0</v>
      </c>
      <c r="N224" s="549">
        <v>0</v>
      </c>
      <c r="O224" s="518">
        <f t="shared" si="14"/>
        <v>0</v>
      </c>
      <c r="P224" s="549">
        <v>43700</v>
      </c>
      <c r="Q224" s="550">
        <v>343</v>
      </c>
      <c r="R224" s="549">
        <v>42711</v>
      </c>
      <c r="S224" s="550">
        <v>43054</v>
      </c>
      <c r="T224" s="556">
        <v>98.52</v>
      </c>
      <c r="U224" s="550">
        <v>256</v>
      </c>
      <c r="V224" s="549">
        <v>342</v>
      </c>
      <c r="W224" s="550">
        <v>43309</v>
      </c>
      <c r="X224" s="549">
        <v>9082</v>
      </c>
      <c r="Y224" s="550">
        <v>0</v>
      </c>
      <c r="Z224" s="549">
        <v>15911</v>
      </c>
      <c r="AA224" s="550">
        <v>112</v>
      </c>
      <c r="AB224" s="549">
        <v>15309</v>
      </c>
      <c r="AC224" s="550">
        <v>15421</v>
      </c>
      <c r="AD224" s="556">
        <v>96.92</v>
      </c>
      <c r="AE224" s="550">
        <v>-43</v>
      </c>
      <c r="AF224" s="549">
        <v>134</v>
      </c>
      <c r="AG224" s="550">
        <v>15400</v>
      </c>
      <c r="AH224" s="549">
        <v>2593</v>
      </c>
      <c r="AI224" s="550">
        <v>16499424.959999999</v>
      </c>
      <c r="AJ224" s="549">
        <v>32171.5</v>
      </c>
      <c r="AK224" s="550">
        <v>0</v>
      </c>
      <c r="AL224" s="549">
        <v>1538.91</v>
      </c>
      <c r="AM224" s="473">
        <f t="shared" si="15"/>
        <v>49509.043065000005</v>
      </c>
      <c r="AN224" s="141"/>
      <c r="AO224" s="566"/>
      <c r="AP224" s="567"/>
    </row>
    <row r="225" spans="1:42">
      <c r="A225" s="471">
        <v>214</v>
      </c>
      <c r="B225" s="481" t="s">
        <v>465</v>
      </c>
      <c r="C225" s="472" t="s">
        <v>466</v>
      </c>
      <c r="D225" s="550">
        <v>8333</v>
      </c>
      <c r="E225" s="549">
        <v>8345</v>
      </c>
      <c r="F225" s="550">
        <v>8279</v>
      </c>
      <c r="G225" s="549">
        <f t="shared" si="12"/>
        <v>24957</v>
      </c>
      <c r="H225" s="550">
        <v>3914</v>
      </c>
      <c r="I225" s="549">
        <v>4052</v>
      </c>
      <c r="J225" s="550">
        <v>3341</v>
      </c>
      <c r="K225" s="550">
        <f t="shared" si="13"/>
        <v>11307</v>
      </c>
      <c r="L225" s="549">
        <v>0</v>
      </c>
      <c r="M225" s="550">
        <v>0</v>
      </c>
      <c r="N225" s="549">
        <v>0</v>
      </c>
      <c r="O225" s="518">
        <f t="shared" si="14"/>
        <v>0</v>
      </c>
      <c r="P225" s="549">
        <v>28893</v>
      </c>
      <c r="Q225" s="550">
        <v>302</v>
      </c>
      <c r="R225" s="549">
        <v>27853</v>
      </c>
      <c r="S225" s="550">
        <v>28155</v>
      </c>
      <c r="T225" s="556">
        <v>97.45</v>
      </c>
      <c r="U225" s="550">
        <v>-27</v>
      </c>
      <c r="V225" s="549">
        <v>271</v>
      </c>
      <c r="W225" s="550">
        <v>28097</v>
      </c>
      <c r="X225" s="549">
        <v>3566</v>
      </c>
      <c r="Y225" s="550">
        <v>0</v>
      </c>
      <c r="Z225" s="549">
        <v>13273</v>
      </c>
      <c r="AA225" s="550">
        <v>270</v>
      </c>
      <c r="AB225" s="549">
        <v>12562</v>
      </c>
      <c r="AC225" s="550">
        <v>12832</v>
      </c>
      <c r="AD225" s="556">
        <v>96.68</v>
      </c>
      <c r="AE225" s="550">
        <v>-162</v>
      </c>
      <c r="AF225" s="549">
        <v>203</v>
      </c>
      <c r="AG225" s="550">
        <v>12603</v>
      </c>
      <c r="AH225" s="549">
        <v>1482</v>
      </c>
      <c r="AI225" s="550">
        <v>13778756.83</v>
      </c>
      <c r="AJ225" s="549">
        <v>22237</v>
      </c>
      <c r="AK225" s="550">
        <v>0</v>
      </c>
      <c r="AL225" s="549">
        <v>1558.66</v>
      </c>
      <c r="AM225" s="473">
        <f t="shared" si="15"/>
        <v>34659.922420000003</v>
      </c>
      <c r="AN225" s="141"/>
      <c r="AO225" s="566"/>
      <c r="AP225" s="567"/>
    </row>
    <row r="226" spans="1:42">
      <c r="A226" s="471">
        <v>215</v>
      </c>
      <c r="B226" s="481" t="s">
        <v>467</v>
      </c>
      <c r="C226" s="472" t="s">
        <v>468</v>
      </c>
      <c r="D226" s="550">
        <v>16861</v>
      </c>
      <c r="E226" s="549">
        <v>15926</v>
      </c>
      <c r="F226" s="550">
        <v>15926</v>
      </c>
      <c r="G226" s="549">
        <f t="shared" si="12"/>
        <v>48713</v>
      </c>
      <c r="H226" s="550">
        <v>5728</v>
      </c>
      <c r="I226" s="549">
        <v>4318</v>
      </c>
      <c r="J226" s="550">
        <v>4384</v>
      </c>
      <c r="K226" s="550">
        <f t="shared" si="13"/>
        <v>14430</v>
      </c>
      <c r="L226" s="549">
        <v>0</v>
      </c>
      <c r="M226" s="550">
        <v>0</v>
      </c>
      <c r="N226" s="549">
        <v>0</v>
      </c>
      <c r="O226" s="518">
        <f t="shared" si="14"/>
        <v>0</v>
      </c>
      <c r="P226" s="549">
        <v>54763</v>
      </c>
      <c r="Q226" s="550">
        <v>685</v>
      </c>
      <c r="R226" s="549">
        <v>53267</v>
      </c>
      <c r="S226" s="550">
        <v>53952</v>
      </c>
      <c r="T226" s="556">
        <v>98.52</v>
      </c>
      <c r="U226" s="550">
        <v>498</v>
      </c>
      <c r="V226" s="549">
        <v>612</v>
      </c>
      <c r="W226" s="550">
        <v>54377</v>
      </c>
      <c r="X226" s="549">
        <v>6816</v>
      </c>
      <c r="Y226" s="550">
        <v>0</v>
      </c>
      <c r="Z226" s="549">
        <v>16483</v>
      </c>
      <c r="AA226" s="550">
        <v>143</v>
      </c>
      <c r="AB226" s="549">
        <v>15987</v>
      </c>
      <c r="AC226" s="550">
        <v>16130</v>
      </c>
      <c r="AD226" s="556">
        <v>97.86</v>
      </c>
      <c r="AE226" s="550">
        <v>15</v>
      </c>
      <c r="AF226" s="549">
        <v>68</v>
      </c>
      <c r="AG226" s="550">
        <v>16070</v>
      </c>
      <c r="AH226" s="549">
        <v>1544</v>
      </c>
      <c r="AI226" s="550">
        <v>17624968.989999998</v>
      </c>
      <c r="AJ226" s="549">
        <v>40650.400000000001</v>
      </c>
      <c r="AK226" s="550">
        <v>0</v>
      </c>
      <c r="AL226" s="549">
        <v>1592.93</v>
      </c>
      <c r="AM226" s="473">
        <f t="shared" si="15"/>
        <v>64753.241672000004</v>
      </c>
      <c r="AN226" s="141"/>
      <c r="AO226" s="566"/>
      <c r="AP226" s="567"/>
    </row>
    <row r="227" spans="1:42">
      <c r="A227" s="471">
        <v>216</v>
      </c>
      <c r="B227" s="481" t="s">
        <v>469</v>
      </c>
      <c r="C227" s="472" t="s">
        <v>470</v>
      </c>
      <c r="D227" s="550">
        <v>26574</v>
      </c>
      <c r="E227" s="549">
        <v>26589</v>
      </c>
      <c r="F227" s="550">
        <v>26515</v>
      </c>
      <c r="G227" s="549">
        <f t="shared" si="12"/>
        <v>79678</v>
      </c>
      <c r="H227" s="550">
        <v>22534</v>
      </c>
      <c r="I227" s="549">
        <v>20465</v>
      </c>
      <c r="J227" s="550">
        <v>20914</v>
      </c>
      <c r="K227" s="550">
        <f t="shared" si="13"/>
        <v>63913</v>
      </c>
      <c r="L227" s="549">
        <v>0</v>
      </c>
      <c r="M227" s="550">
        <v>0</v>
      </c>
      <c r="N227" s="549">
        <v>0</v>
      </c>
      <c r="O227" s="518">
        <f t="shared" si="14"/>
        <v>0</v>
      </c>
      <c r="P227" s="549">
        <v>91015</v>
      </c>
      <c r="Q227" s="550">
        <v>639</v>
      </c>
      <c r="R227" s="549">
        <v>88105</v>
      </c>
      <c r="S227" s="550">
        <v>88744</v>
      </c>
      <c r="T227" s="556">
        <v>97.5</v>
      </c>
      <c r="U227" s="550">
        <v>1658</v>
      </c>
      <c r="V227" s="549">
        <v>487</v>
      </c>
      <c r="W227" s="550">
        <v>90250</v>
      </c>
      <c r="X227" s="549">
        <v>14895</v>
      </c>
      <c r="Y227" s="550">
        <v>0</v>
      </c>
      <c r="Z227" s="549">
        <v>72911</v>
      </c>
      <c r="AA227" s="550">
        <v>608</v>
      </c>
      <c r="AB227" s="549">
        <v>70908</v>
      </c>
      <c r="AC227" s="550">
        <v>71516</v>
      </c>
      <c r="AD227" s="556">
        <v>98.09</v>
      </c>
      <c r="AE227" s="550">
        <v>-1456</v>
      </c>
      <c r="AF227" s="549">
        <v>627</v>
      </c>
      <c r="AG227" s="550">
        <v>70079</v>
      </c>
      <c r="AH227" s="549">
        <v>7445</v>
      </c>
      <c r="AI227" s="550">
        <v>78352806.319999993</v>
      </c>
      <c r="AJ227" s="549">
        <v>80856.399999999994</v>
      </c>
      <c r="AK227" s="550">
        <v>0</v>
      </c>
      <c r="AL227" s="549">
        <v>1469.97</v>
      </c>
      <c r="AM227" s="473">
        <f t="shared" si="15"/>
        <v>118856.48230799999</v>
      </c>
      <c r="AN227" s="141"/>
      <c r="AO227" s="566"/>
      <c r="AP227" s="567"/>
    </row>
    <row r="228" spans="1:42">
      <c r="A228" s="471">
        <v>217</v>
      </c>
      <c r="B228" s="481" t="s">
        <v>471</v>
      </c>
      <c r="C228" s="472" t="s">
        <v>472</v>
      </c>
      <c r="D228" s="550">
        <v>14902</v>
      </c>
      <c r="E228" s="549">
        <v>14449</v>
      </c>
      <c r="F228" s="550">
        <v>14392</v>
      </c>
      <c r="G228" s="549">
        <f t="shared" si="12"/>
        <v>43743</v>
      </c>
      <c r="H228" s="550">
        <v>13394</v>
      </c>
      <c r="I228" s="549">
        <v>11627</v>
      </c>
      <c r="J228" s="550">
        <v>11372</v>
      </c>
      <c r="K228" s="550">
        <f t="shared" si="13"/>
        <v>36393</v>
      </c>
      <c r="L228" s="549">
        <v>0</v>
      </c>
      <c r="M228" s="550">
        <v>0</v>
      </c>
      <c r="N228" s="549">
        <v>0</v>
      </c>
      <c r="O228" s="518">
        <f t="shared" si="14"/>
        <v>0</v>
      </c>
      <c r="P228" s="549">
        <v>49010</v>
      </c>
      <c r="Q228" s="550">
        <v>603</v>
      </c>
      <c r="R228" s="549">
        <v>47426</v>
      </c>
      <c r="S228" s="550">
        <v>48029</v>
      </c>
      <c r="T228" s="556">
        <v>98</v>
      </c>
      <c r="U228" s="550">
        <v>571</v>
      </c>
      <c r="V228" s="549">
        <v>533</v>
      </c>
      <c r="W228" s="550">
        <v>48530</v>
      </c>
      <c r="X228" s="549">
        <v>5920</v>
      </c>
      <c r="Y228" s="550">
        <v>0</v>
      </c>
      <c r="Z228" s="549">
        <v>39943</v>
      </c>
      <c r="AA228" s="550">
        <v>439</v>
      </c>
      <c r="AB228" s="549">
        <v>39158</v>
      </c>
      <c r="AC228" s="550">
        <v>39597</v>
      </c>
      <c r="AD228" s="556">
        <v>99.13</v>
      </c>
      <c r="AE228" s="550">
        <v>-860</v>
      </c>
      <c r="AF228" s="549">
        <v>315</v>
      </c>
      <c r="AG228" s="550">
        <v>38613</v>
      </c>
      <c r="AH228" s="549">
        <v>4170</v>
      </c>
      <c r="AI228" s="550">
        <v>42143503.300000004</v>
      </c>
      <c r="AJ228" s="549">
        <v>36583.46</v>
      </c>
      <c r="AK228" s="550">
        <v>133</v>
      </c>
      <c r="AL228" s="549">
        <v>1524.09</v>
      </c>
      <c r="AM228" s="473">
        <f t="shared" si="15"/>
        <v>55959.189521399996</v>
      </c>
      <c r="AN228" s="141"/>
      <c r="AO228" s="566"/>
      <c r="AP228" s="567"/>
    </row>
    <row r="229" spans="1:42">
      <c r="A229" s="471">
        <v>218</v>
      </c>
      <c r="B229" s="481" t="s">
        <v>473</v>
      </c>
      <c r="C229" s="472" t="s">
        <v>474</v>
      </c>
      <c r="D229" s="550">
        <v>14373</v>
      </c>
      <c r="E229" s="549">
        <v>13794</v>
      </c>
      <c r="F229" s="550">
        <v>13686</v>
      </c>
      <c r="G229" s="549">
        <f t="shared" si="12"/>
        <v>41853</v>
      </c>
      <c r="H229" s="550">
        <v>11771</v>
      </c>
      <c r="I229" s="549">
        <v>12126</v>
      </c>
      <c r="J229" s="550">
        <v>12650</v>
      </c>
      <c r="K229" s="550">
        <f t="shared" si="13"/>
        <v>36547</v>
      </c>
      <c r="L229" s="549">
        <v>0</v>
      </c>
      <c r="M229" s="550">
        <v>0</v>
      </c>
      <c r="N229" s="549">
        <v>0</v>
      </c>
      <c r="O229" s="518">
        <f t="shared" si="14"/>
        <v>0</v>
      </c>
      <c r="P229" s="549">
        <v>46501</v>
      </c>
      <c r="Q229" s="550">
        <v>777</v>
      </c>
      <c r="R229" s="549">
        <v>45077</v>
      </c>
      <c r="S229" s="550">
        <v>45854</v>
      </c>
      <c r="T229" s="556">
        <v>98.61</v>
      </c>
      <c r="U229" s="550">
        <v>185</v>
      </c>
      <c r="V229" s="549">
        <v>831</v>
      </c>
      <c r="W229" s="550">
        <v>46093</v>
      </c>
      <c r="X229" s="549">
        <v>6238</v>
      </c>
      <c r="Y229" s="550">
        <v>0</v>
      </c>
      <c r="Z229" s="549">
        <v>43312</v>
      </c>
      <c r="AA229" s="550">
        <v>67</v>
      </c>
      <c r="AB229" s="549">
        <v>42718</v>
      </c>
      <c r="AC229" s="550">
        <v>42785</v>
      </c>
      <c r="AD229" s="556">
        <v>98.78</v>
      </c>
      <c r="AE229" s="550">
        <v>-1174</v>
      </c>
      <c r="AF229" s="549">
        <v>968</v>
      </c>
      <c r="AG229" s="550">
        <v>42512</v>
      </c>
      <c r="AH229" s="549">
        <v>5348</v>
      </c>
      <c r="AI229" s="550">
        <v>45221587.769999996</v>
      </c>
      <c r="AJ229" s="549">
        <v>33894</v>
      </c>
      <c r="AK229" s="550">
        <v>47</v>
      </c>
      <c r="AL229" s="549">
        <v>1521.91</v>
      </c>
      <c r="AM229" s="473">
        <f t="shared" si="15"/>
        <v>51655.14731</v>
      </c>
      <c r="AN229" s="141"/>
      <c r="AO229" s="566"/>
      <c r="AP229" s="567"/>
    </row>
    <row r="230" spans="1:42">
      <c r="A230" s="471">
        <v>219</v>
      </c>
      <c r="B230" s="481" t="s">
        <v>475</v>
      </c>
      <c r="C230" s="472" t="s">
        <v>476</v>
      </c>
      <c r="D230" s="550">
        <v>18860</v>
      </c>
      <c r="E230" s="549">
        <v>18189</v>
      </c>
      <c r="F230" s="550">
        <v>18483</v>
      </c>
      <c r="G230" s="549">
        <f t="shared" si="12"/>
        <v>55532</v>
      </c>
      <c r="H230" s="550">
        <v>6767</v>
      </c>
      <c r="I230" s="549">
        <v>7031</v>
      </c>
      <c r="J230" s="550">
        <v>6885</v>
      </c>
      <c r="K230" s="550">
        <f t="shared" si="13"/>
        <v>20683</v>
      </c>
      <c r="L230" s="549">
        <v>0</v>
      </c>
      <c r="M230" s="550">
        <v>0</v>
      </c>
      <c r="N230" s="549">
        <v>0</v>
      </c>
      <c r="O230" s="518">
        <f t="shared" si="14"/>
        <v>0</v>
      </c>
      <c r="P230" s="549">
        <v>62129</v>
      </c>
      <c r="Q230" s="550">
        <v>583</v>
      </c>
      <c r="R230" s="549">
        <v>61010</v>
      </c>
      <c r="S230" s="550">
        <v>61593</v>
      </c>
      <c r="T230" s="556">
        <v>99.14</v>
      </c>
      <c r="U230" s="550">
        <v>301</v>
      </c>
      <c r="V230" s="549">
        <v>573</v>
      </c>
      <c r="W230" s="550">
        <v>61884</v>
      </c>
      <c r="X230" s="549">
        <v>7450</v>
      </c>
      <c r="Y230" s="550">
        <v>0</v>
      </c>
      <c r="Z230" s="549">
        <v>24205</v>
      </c>
      <c r="AA230" s="550">
        <v>164</v>
      </c>
      <c r="AB230" s="549">
        <v>23786</v>
      </c>
      <c r="AC230" s="550">
        <v>23951</v>
      </c>
      <c r="AD230" s="556">
        <v>98.95</v>
      </c>
      <c r="AE230" s="550">
        <v>-306</v>
      </c>
      <c r="AF230" s="549">
        <v>223</v>
      </c>
      <c r="AG230" s="550">
        <v>23703</v>
      </c>
      <c r="AH230" s="549">
        <v>2524</v>
      </c>
      <c r="AI230" s="550">
        <v>25802385.289999999</v>
      </c>
      <c r="AJ230" s="549">
        <v>42718.1</v>
      </c>
      <c r="AK230" s="550">
        <v>0</v>
      </c>
      <c r="AL230" s="549">
        <v>1612.09</v>
      </c>
      <c r="AM230" s="473">
        <f t="shared" si="15"/>
        <v>68865.421828999999</v>
      </c>
      <c r="AN230" s="141"/>
      <c r="AO230" s="566"/>
      <c r="AP230" s="567"/>
    </row>
    <row r="231" spans="1:42">
      <c r="A231" s="471">
        <v>220</v>
      </c>
      <c r="B231" s="481" t="s">
        <v>477</v>
      </c>
      <c r="C231" s="472" t="s">
        <v>478</v>
      </c>
      <c r="D231" s="550">
        <v>12257</v>
      </c>
      <c r="E231" s="549">
        <v>12265</v>
      </c>
      <c r="F231" s="550">
        <v>12412</v>
      </c>
      <c r="G231" s="549">
        <f t="shared" si="12"/>
        <v>36934</v>
      </c>
      <c r="H231" s="550">
        <v>13660</v>
      </c>
      <c r="I231" s="549">
        <v>11347</v>
      </c>
      <c r="J231" s="550">
        <v>12331</v>
      </c>
      <c r="K231" s="550">
        <f t="shared" si="13"/>
        <v>37338</v>
      </c>
      <c r="L231" s="549">
        <v>0</v>
      </c>
      <c r="M231" s="550">
        <v>0</v>
      </c>
      <c r="N231" s="549">
        <v>0</v>
      </c>
      <c r="O231" s="518">
        <f t="shared" si="14"/>
        <v>0</v>
      </c>
      <c r="P231" s="549">
        <v>41123</v>
      </c>
      <c r="Q231" s="550">
        <v>281</v>
      </c>
      <c r="R231" s="549">
        <v>40143</v>
      </c>
      <c r="S231" s="550">
        <v>40424</v>
      </c>
      <c r="T231" s="556">
        <v>98.3</v>
      </c>
      <c r="U231" s="550">
        <v>258</v>
      </c>
      <c r="V231" s="549">
        <v>245</v>
      </c>
      <c r="W231" s="550">
        <v>40646</v>
      </c>
      <c r="X231" s="549">
        <v>4943</v>
      </c>
      <c r="Y231" s="550">
        <v>0</v>
      </c>
      <c r="Z231" s="549">
        <v>44577</v>
      </c>
      <c r="AA231" s="550">
        <v>415</v>
      </c>
      <c r="AB231" s="549">
        <v>43619</v>
      </c>
      <c r="AC231" s="550">
        <v>44034</v>
      </c>
      <c r="AD231" s="556">
        <v>98.78</v>
      </c>
      <c r="AE231" s="550">
        <v>-725</v>
      </c>
      <c r="AF231" s="549">
        <v>677</v>
      </c>
      <c r="AG231" s="550">
        <v>43571</v>
      </c>
      <c r="AH231" s="549">
        <v>4983</v>
      </c>
      <c r="AI231" s="550">
        <v>45252656.310000002</v>
      </c>
      <c r="AJ231" s="549">
        <v>30914.69</v>
      </c>
      <c r="AK231" s="550">
        <v>1716</v>
      </c>
      <c r="AL231" s="549">
        <v>1434.58</v>
      </c>
      <c r="AM231" s="473">
        <f t="shared" si="15"/>
        <v>46811.335260199994</v>
      </c>
      <c r="AN231" s="141"/>
      <c r="AO231" s="566"/>
      <c r="AP231" s="567"/>
    </row>
    <row r="232" spans="1:42">
      <c r="A232" s="471">
        <v>221</v>
      </c>
      <c r="B232" s="481" t="s">
        <v>479</v>
      </c>
      <c r="C232" s="472" t="s">
        <v>480</v>
      </c>
      <c r="D232" s="550">
        <v>7208</v>
      </c>
      <c r="E232" s="549">
        <v>6975</v>
      </c>
      <c r="F232" s="550">
        <v>6931</v>
      </c>
      <c r="G232" s="549">
        <f t="shared" si="12"/>
        <v>21114</v>
      </c>
      <c r="H232" s="550">
        <v>3808</v>
      </c>
      <c r="I232" s="549">
        <v>2576</v>
      </c>
      <c r="J232" s="550">
        <v>2561</v>
      </c>
      <c r="K232" s="550">
        <f t="shared" si="13"/>
        <v>8945</v>
      </c>
      <c r="L232" s="549">
        <v>0</v>
      </c>
      <c r="M232" s="550">
        <v>0</v>
      </c>
      <c r="N232" s="549">
        <v>0</v>
      </c>
      <c r="O232" s="518">
        <f t="shared" si="14"/>
        <v>0</v>
      </c>
      <c r="P232" s="549">
        <v>23119</v>
      </c>
      <c r="Q232" s="550">
        <v>168</v>
      </c>
      <c r="R232" s="549">
        <v>22694</v>
      </c>
      <c r="S232" s="550">
        <v>22862</v>
      </c>
      <c r="T232" s="556">
        <v>98.89</v>
      </c>
      <c r="U232" s="550">
        <v>112</v>
      </c>
      <c r="V232" s="549">
        <v>172</v>
      </c>
      <c r="W232" s="550">
        <v>22978</v>
      </c>
      <c r="X232" s="549">
        <v>2640</v>
      </c>
      <c r="Y232" s="550">
        <v>0</v>
      </c>
      <c r="Z232" s="549">
        <v>9414</v>
      </c>
      <c r="AA232" s="550">
        <v>59</v>
      </c>
      <c r="AB232" s="549">
        <v>9235</v>
      </c>
      <c r="AC232" s="550">
        <v>9294</v>
      </c>
      <c r="AD232" s="556">
        <v>98.73</v>
      </c>
      <c r="AE232" s="550">
        <v>-171</v>
      </c>
      <c r="AF232" s="549">
        <v>57</v>
      </c>
      <c r="AG232" s="550">
        <v>9121</v>
      </c>
      <c r="AH232" s="549">
        <v>839</v>
      </c>
      <c r="AI232" s="550">
        <v>9992433.8499999996</v>
      </c>
      <c r="AJ232" s="549">
        <v>14487.69</v>
      </c>
      <c r="AK232" s="550">
        <v>410.04</v>
      </c>
      <c r="AL232" s="549">
        <v>1701.47</v>
      </c>
      <c r="AM232" s="473">
        <f t="shared" si="15"/>
        <v>25348.040663100004</v>
      </c>
      <c r="AN232" s="141"/>
      <c r="AO232" s="566"/>
      <c r="AP232" s="567"/>
    </row>
    <row r="233" spans="1:42">
      <c r="A233" s="471">
        <v>222</v>
      </c>
      <c r="B233" s="481" t="s">
        <v>481</v>
      </c>
      <c r="C233" s="472" t="s">
        <v>482</v>
      </c>
      <c r="D233" s="550">
        <v>9216</v>
      </c>
      <c r="E233" s="549">
        <v>8935</v>
      </c>
      <c r="F233" s="550">
        <v>8715</v>
      </c>
      <c r="G233" s="549">
        <f t="shared" si="12"/>
        <v>26866</v>
      </c>
      <c r="H233" s="550">
        <v>5684</v>
      </c>
      <c r="I233" s="549">
        <v>3431</v>
      </c>
      <c r="J233" s="550">
        <v>4374</v>
      </c>
      <c r="K233" s="550">
        <f t="shared" si="13"/>
        <v>13489</v>
      </c>
      <c r="L233" s="549">
        <v>0</v>
      </c>
      <c r="M233" s="550">
        <v>0</v>
      </c>
      <c r="N233" s="549">
        <v>0</v>
      </c>
      <c r="O233" s="518">
        <f t="shared" si="14"/>
        <v>0</v>
      </c>
      <c r="P233" s="549">
        <v>30055</v>
      </c>
      <c r="Q233" s="550">
        <v>405</v>
      </c>
      <c r="R233" s="549">
        <v>29112</v>
      </c>
      <c r="S233" s="550">
        <v>29517</v>
      </c>
      <c r="T233" s="556">
        <v>98.21</v>
      </c>
      <c r="U233" s="550">
        <v>746</v>
      </c>
      <c r="V233" s="549">
        <v>343</v>
      </c>
      <c r="W233" s="550">
        <v>30201</v>
      </c>
      <c r="X233" s="549">
        <v>4251</v>
      </c>
      <c r="Y233" s="550">
        <v>0</v>
      </c>
      <c r="Z233" s="549">
        <v>15751</v>
      </c>
      <c r="AA233" s="550">
        <v>329</v>
      </c>
      <c r="AB233" s="549">
        <v>15223</v>
      </c>
      <c r="AC233" s="550">
        <v>15552</v>
      </c>
      <c r="AD233" s="556">
        <v>98.74</v>
      </c>
      <c r="AE233" s="550">
        <v>400</v>
      </c>
      <c r="AF233" s="549">
        <v>257</v>
      </c>
      <c r="AG233" s="550">
        <v>15880</v>
      </c>
      <c r="AH233" s="549">
        <v>2070</v>
      </c>
      <c r="AI233" s="550">
        <v>16451317.25</v>
      </c>
      <c r="AJ233" s="549">
        <v>21628</v>
      </c>
      <c r="AK233" s="550">
        <v>8</v>
      </c>
      <c r="AL233" s="549">
        <v>1535.72</v>
      </c>
      <c r="AM233" s="473">
        <f t="shared" si="15"/>
        <v>33226.837920000005</v>
      </c>
      <c r="AN233" s="141"/>
      <c r="AO233" s="566"/>
      <c r="AP233" s="567"/>
    </row>
    <row r="234" spans="1:42">
      <c r="A234" s="471">
        <v>223</v>
      </c>
      <c r="B234" s="481" t="s">
        <v>483</v>
      </c>
      <c r="C234" s="472" t="s">
        <v>484</v>
      </c>
      <c r="D234" s="550">
        <v>25204</v>
      </c>
      <c r="E234" s="549">
        <v>24194</v>
      </c>
      <c r="F234" s="550">
        <v>24335</v>
      </c>
      <c r="G234" s="549">
        <f t="shared" si="12"/>
        <v>73733</v>
      </c>
      <c r="H234" s="550">
        <v>35530</v>
      </c>
      <c r="I234" s="549">
        <v>22965</v>
      </c>
      <c r="J234" s="550">
        <v>26868</v>
      </c>
      <c r="K234" s="550">
        <f t="shared" si="13"/>
        <v>85363</v>
      </c>
      <c r="L234" s="549">
        <v>0</v>
      </c>
      <c r="M234" s="550">
        <v>0</v>
      </c>
      <c r="N234" s="549">
        <v>0</v>
      </c>
      <c r="O234" s="518">
        <f t="shared" si="14"/>
        <v>0</v>
      </c>
      <c r="P234" s="549">
        <v>83963</v>
      </c>
      <c r="Q234" s="550">
        <v>895</v>
      </c>
      <c r="R234" s="549">
        <v>76390</v>
      </c>
      <c r="S234" s="550">
        <v>77285</v>
      </c>
      <c r="T234" s="556">
        <v>92.05</v>
      </c>
      <c r="U234" s="550">
        <v>3581</v>
      </c>
      <c r="V234" s="549">
        <v>1579</v>
      </c>
      <c r="W234" s="550">
        <v>81550</v>
      </c>
      <c r="X234" s="549">
        <v>12906</v>
      </c>
      <c r="Y234" s="550">
        <v>0</v>
      </c>
      <c r="Z234" s="549">
        <v>91833</v>
      </c>
      <c r="AA234" s="550">
        <v>552</v>
      </c>
      <c r="AB234" s="549">
        <v>85023</v>
      </c>
      <c r="AC234" s="550">
        <v>85575</v>
      </c>
      <c r="AD234" s="556">
        <v>93.19</v>
      </c>
      <c r="AE234" s="550">
        <v>145</v>
      </c>
      <c r="AF234" s="549">
        <v>811</v>
      </c>
      <c r="AG234" s="550">
        <v>85979</v>
      </c>
      <c r="AH234" s="549">
        <v>11547</v>
      </c>
      <c r="AI234" s="550">
        <v>96484737.530000001</v>
      </c>
      <c r="AJ234" s="549">
        <v>75274</v>
      </c>
      <c r="AK234" s="550">
        <v>0</v>
      </c>
      <c r="AL234" s="549">
        <v>1533.28</v>
      </c>
      <c r="AM234" s="473">
        <f t="shared" si="15"/>
        <v>115416.11872</v>
      </c>
      <c r="AN234" s="141"/>
      <c r="AO234" s="566"/>
      <c r="AP234" s="567"/>
    </row>
    <row r="235" spans="1:42">
      <c r="A235" s="471">
        <v>224</v>
      </c>
      <c r="B235" s="481" t="s">
        <v>485</v>
      </c>
      <c r="C235" s="472" t="s">
        <v>486</v>
      </c>
      <c r="D235" s="550">
        <v>25013</v>
      </c>
      <c r="E235" s="549">
        <v>25375</v>
      </c>
      <c r="F235" s="550">
        <v>24933</v>
      </c>
      <c r="G235" s="549">
        <f t="shared" si="12"/>
        <v>75321</v>
      </c>
      <c r="H235" s="550">
        <v>29033</v>
      </c>
      <c r="I235" s="549">
        <v>28495</v>
      </c>
      <c r="J235" s="550">
        <v>27000</v>
      </c>
      <c r="K235" s="550">
        <f t="shared" si="13"/>
        <v>84528</v>
      </c>
      <c r="L235" s="549">
        <v>0</v>
      </c>
      <c r="M235" s="550">
        <v>0</v>
      </c>
      <c r="N235" s="549">
        <v>0</v>
      </c>
      <c r="O235" s="518">
        <f t="shared" si="14"/>
        <v>0</v>
      </c>
      <c r="P235" s="549">
        <v>84314</v>
      </c>
      <c r="Q235" s="550">
        <v>3044</v>
      </c>
      <c r="R235" s="549">
        <v>79744</v>
      </c>
      <c r="S235" s="550">
        <v>82788</v>
      </c>
      <c r="T235" s="556">
        <v>98.19</v>
      </c>
      <c r="U235" s="550">
        <v>950</v>
      </c>
      <c r="V235" s="549">
        <v>2107</v>
      </c>
      <c r="W235" s="550">
        <v>82801</v>
      </c>
      <c r="X235" s="549">
        <v>10984</v>
      </c>
      <c r="Y235" s="550">
        <v>0</v>
      </c>
      <c r="Z235" s="549">
        <v>96507</v>
      </c>
      <c r="AA235" s="550">
        <v>1024</v>
      </c>
      <c r="AB235" s="549">
        <v>92146</v>
      </c>
      <c r="AC235" s="550">
        <v>93170</v>
      </c>
      <c r="AD235" s="556">
        <v>96.54</v>
      </c>
      <c r="AE235" s="550">
        <v>-454</v>
      </c>
      <c r="AF235" s="549">
        <v>632</v>
      </c>
      <c r="AG235" s="550">
        <v>92324</v>
      </c>
      <c r="AH235" s="549">
        <v>8684</v>
      </c>
      <c r="AI235" s="550">
        <v>101773746.86</v>
      </c>
      <c r="AJ235" s="549">
        <v>89168</v>
      </c>
      <c r="AK235" s="550">
        <v>0</v>
      </c>
      <c r="AL235" s="549">
        <v>1330.98</v>
      </c>
      <c r="AM235" s="473">
        <f t="shared" si="15"/>
        <v>118680.82464000001</v>
      </c>
      <c r="AN235" s="141"/>
      <c r="AO235" s="566"/>
      <c r="AP235" s="567"/>
    </row>
    <row r="236" spans="1:42">
      <c r="A236" s="471">
        <v>225</v>
      </c>
      <c r="B236" s="481" t="s">
        <v>487</v>
      </c>
      <c r="C236" s="472" t="s">
        <v>488</v>
      </c>
      <c r="D236" s="550">
        <v>16843</v>
      </c>
      <c r="E236" s="549">
        <v>16484</v>
      </c>
      <c r="F236" s="550">
        <v>15398</v>
      </c>
      <c r="G236" s="549">
        <f t="shared" si="12"/>
        <v>48725</v>
      </c>
      <c r="H236" s="550">
        <v>11078</v>
      </c>
      <c r="I236" s="549">
        <v>10105</v>
      </c>
      <c r="J236" s="550">
        <v>8783</v>
      </c>
      <c r="K236" s="550">
        <f t="shared" si="13"/>
        <v>29966</v>
      </c>
      <c r="L236" s="549">
        <v>0</v>
      </c>
      <c r="M236" s="550">
        <v>0</v>
      </c>
      <c r="N236" s="549">
        <v>0</v>
      </c>
      <c r="O236" s="518">
        <f t="shared" si="14"/>
        <v>0</v>
      </c>
      <c r="P236" s="549">
        <v>54429</v>
      </c>
      <c r="Q236" s="550">
        <v>1087</v>
      </c>
      <c r="R236" s="549">
        <v>52077</v>
      </c>
      <c r="S236" s="550">
        <v>53164</v>
      </c>
      <c r="T236" s="556">
        <v>97.68</v>
      </c>
      <c r="U236" s="550">
        <v>1914</v>
      </c>
      <c r="V236" s="549">
        <v>958</v>
      </c>
      <c r="W236" s="550">
        <v>54949</v>
      </c>
      <c r="X236" s="549">
        <v>8344</v>
      </c>
      <c r="Y236" s="550">
        <v>0</v>
      </c>
      <c r="Z236" s="549">
        <v>31192</v>
      </c>
      <c r="AA236" s="550">
        <v>572</v>
      </c>
      <c r="AB236" s="549">
        <v>29847</v>
      </c>
      <c r="AC236" s="550">
        <v>30419</v>
      </c>
      <c r="AD236" s="556">
        <v>97.52</v>
      </c>
      <c r="AE236" s="550">
        <v>121</v>
      </c>
      <c r="AF236" s="549">
        <v>377</v>
      </c>
      <c r="AG236" s="550">
        <v>30345</v>
      </c>
      <c r="AH236" s="549">
        <v>4190</v>
      </c>
      <c r="AI236" s="550">
        <v>32644767.609999999</v>
      </c>
      <c r="AJ236" s="549">
        <v>43862.9</v>
      </c>
      <c r="AK236" s="550">
        <v>0</v>
      </c>
      <c r="AL236" s="549">
        <v>1554.86</v>
      </c>
      <c r="AM236" s="473">
        <f t="shared" si="15"/>
        <v>68200.668693999993</v>
      </c>
      <c r="AN236" s="141"/>
      <c r="AO236" s="566"/>
      <c r="AP236" s="567"/>
    </row>
    <row r="237" spans="1:42">
      <c r="A237" s="471">
        <v>226</v>
      </c>
      <c r="B237" s="481" t="s">
        <v>489</v>
      </c>
      <c r="C237" s="472" t="s">
        <v>490</v>
      </c>
      <c r="D237" s="550">
        <v>15988</v>
      </c>
      <c r="E237" s="549">
        <v>15829</v>
      </c>
      <c r="F237" s="550">
        <v>15634</v>
      </c>
      <c r="G237" s="549">
        <f t="shared" si="12"/>
        <v>47451</v>
      </c>
      <c r="H237" s="550">
        <v>10891</v>
      </c>
      <c r="I237" s="549">
        <v>10598</v>
      </c>
      <c r="J237" s="550">
        <v>9665</v>
      </c>
      <c r="K237" s="550">
        <f t="shared" si="13"/>
        <v>31154</v>
      </c>
      <c r="L237" s="549">
        <v>0</v>
      </c>
      <c r="M237" s="550">
        <v>0</v>
      </c>
      <c r="N237" s="549">
        <v>0</v>
      </c>
      <c r="O237" s="518">
        <f t="shared" si="14"/>
        <v>0</v>
      </c>
      <c r="P237" s="549">
        <v>52622</v>
      </c>
      <c r="Q237" s="550">
        <v>740</v>
      </c>
      <c r="R237" s="549">
        <v>50877</v>
      </c>
      <c r="S237" s="550">
        <v>51617</v>
      </c>
      <c r="T237" s="556">
        <v>98.09</v>
      </c>
      <c r="U237" s="550">
        <v>741</v>
      </c>
      <c r="V237" s="549">
        <v>763</v>
      </c>
      <c r="W237" s="550">
        <v>52381</v>
      </c>
      <c r="X237" s="549">
        <v>5321</v>
      </c>
      <c r="Y237" s="550">
        <v>0</v>
      </c>
      <c r="Z237" s="549">
        <v>34995</v>
      </c>
      <c r="AA237" s="550">
        <v>190</v>
      </c>
      <c r="AB237" s="549">
        <v>33946</v>
      </c>
      <c r="AC237" s="550">
        <v>34136</v>
      </c>
      <c r="AD237" s="556">
        <v>97.55</v>
      </c>
      <c r="AE237" s="550">
        <v>117</v>
      </c>
      <c r="AF237" s="549">
        <v>139</v>
      </c>
      <c r="AG237" s="550">
        <v>34202</v>
      </c>
      <c r="AH237" s="549">
        <v>3183</v>
      </c>
      <c r="AI237" s="550">
        <v>36948941.390000001</v>
      </c>
      <c r="AJ237" s="549">
        <v>42061.39</v>
      </c>
      <c r="AK237" s="550">
        <v>0</v>
      </c>
      <c r="AL237" s="549">
        <v>1455.68</v>
      </c>
      <c r="AM237" s="473">
        <f t="shared" si="15"/>
        <v>61227.924195200001</v>
      </c>
      <c r="AN237" s="141"/>
      <c r="AO237" s="566"/>
      <c r="AP237" s="567"/>
    </row>
    <row r="238" spans="1:42">
      <c r="A238" s="471">
        <v>227</v>
      </c>
      <c r="B238" s="481" t="s">
        <v>491</v>
      </c>
      <c r="C238" s="472" t="s">
        <v>492</v>
      </c>
      <c r="D238" s="550">
        <v>33897</v>
      </c>
      <c r="E238" s="549">
        <v>33900</v>
      </c>
      <c r="F238" s="550">
        <v>34059</v>
      </c>
      <c r="G238" s="549">
        <f t="shared" si="12"/>
        <v>101856</v>
      </c>
      <c r="H238" s="550">
        <v>24325</v>
      </c>
      <c r="I238" s="549">
        <v>15425</v>
      </c>
      <c r="J238" s="550">
        <v>17286</v>
      </c>
      <c r="K238" s="550">
        <f t="shared" si="13"/>
        <v>57036</v>
      </c>
      <c r="L238" s="549">
        <v>0</v>
      </c>
      <c r="M238" s="550">
        <v>0</v>
      </c>
      <c r="N238" s="549">
        <v>0</v>
      </c>
      <c r="O238" s="518">
        <f t="shared" si="14"/>
        <v>0</v>
      </c>
      <c r="P238" s="549">
        <v>114529</v>
      </c>
      <c r="Q238" s="550">
        <v>843</v>
      </c>
      <c r="R238" s="549">
        <v>110552</v>
      </c>
      <c r="S238" s="550">
        <v>111395</v>
      </c>
      <c r="T238" s="556">
        <v>97.26</v>
      </c>
      <c r="U238" s="550">
        <v>1455</v>
      </c>
      <c r="V238" s="549">
        <v>913</v>
      </c>
      <c r="W238" s="550">
        <v>112920</v>
      </c>
      <c r="X238" s="549">
        <v>14139</v>
      </c>
      <c r="Y238" s="550">
        <v>0</v>
      </c>
      <c r="Z238" s="549">
        <v>68914</v>
      </c>
      <c r="AA238" s="550">
        <v>264</v>
      </c>
      <c r="AB238" s="549">
        <v>67243</v>
      </c>
      <c r="AC238" s="550">
        <v>67507</v>
      </c>
      <c r="AD238" s="556">
        <v>97.96</v>
      </c>
      <c r="AE238" s="550">
        <v>-4659</v>
      </c>
      <c r="AF238" s="549">
        <v>182</v>
      </c>
      <c r="AG238" s="550">
        <v>62766</v>
      </c>
      <c r="AH238" s="549">
        <v>6168</v>
      </c>
      <c r="AI238" s="550">
        <v>72101011.50999999</v>
      </c>
      <c r="AJ238" s="549">
        <v>95938.45</v>
      </c>
      <c r="AK238" s="550">
        <v>7</v>
      </c>
      <c r="AL238" s="549">
        <v>1500.17</v>
      </c>
      <c r="AM238" s="473">
        <f t="shared" si="15"/>
        <v>143934.48572650002</v>
      </c>
      <c r="AN238" s="141"/>
      <c r="AO238" s="566"/>
      <c r="AP238" s="567"/>
    </row>
    <row r="239" spans="1:42">
      <c r="A239" s="471">
        <v>228</v>
      </c>
      <c r="B239" s="481" t="s">
        <v>493</v>
      </c>
      <c r="C239" s="472" t="s">
        <v>494</v>
      </c>
      <c r="D239" s="550">
        <v>9237</v>
      </c>
      <c r="E239" s="549">
        <v>12214</v>
      </c>
      <c r="F239" s="550">
        <v>12452</v>
      </c>
      <c r="G239" s="549">
        <f t="shared" si="12"/>
        <v>33903</v>
      </c>
      <c r="H239" s="550">
        <v>11635</v>
      </c>
      <c r="I239" s="549">
        <v>13109</v>
      </c>
      <c r="J239" s="550">
        <v>12558</v>
      </c>
      <c r="K239" s="550">
        <f t="shared" si="13"/>
        <v>37302</v>
      </c>
      <c r="L239" s="549">
        <v>0</v>
      </c>
      <c r="M239" s="550">
        <v>0</v>
      </c>
      <c r="N239" s="549">
        <v>0</v>
      </c>
      <c r="O239" s="518">
        <f t="shared" si="14"/>
        <v>0</v>
      </c>
      <c r="P239" s="549">
        <v>42362</v>
      </c>
      <c r="Q239" s="550">
        <v>540</v>
      </c>
      <c r="R239" s="549">
        <v>41054</v>
      </c>
      <c r="S239" s="550">
        <v>41594</v>
      </c>
      <c r="T239" s="556">
        <v>98.19</v>
      </c>
      <c r="U239" s="550">
        <v>508</v>
      </c>
      <c r="V239" s="549">
        <v>356</v>
      </c>
      <c r="W239" s="550">
        <v>41918</v>
      </c>
      <c r="X239" s="549">
        <v>5263</v>
      </c>
      <c r="Y239" s="550">
        <v>0</v>
      </c>
      <c r="Z239" s="549">
        <v>38038</v>
      </c>
      <c r="AA239" s="550">
        <v>88</v>
      </c>
      <c r="AB239" s="549">
        <v>37409</v>
      </c>
      <c r="AC239" s="550">
        <v>37497</v>
      </c>
      <c r="AD239" s="556">
        <v>98.58</v>
      </c>
      <c r="AE239" s="550">
        <v>17</v>
      </c>
      <c r="AF239" s="549">
        <v>64</v>
      </c>
      <c r="AG239" s="550">
        <v>37490</v>
      </c>
      <c r="AH239" s="549">
        <v>4201</v>
      </c>
      <c r="AI239" s="550">
        <v>43554193.68</v>
      </c>
      <c r="AJ239" s="549">
        <v>30693.9</v>
      </c>
      <c r="AK239" s="550">
        <v>0</v>
      </c>
      <c r="AL239" s="549">
        <v>1531.85</v>
      </c>
      <c r="AM239" s="473">
        <f t="shared" si="15"/>
        <v>47018.450714999999</v>
      </c>
      <c r="AN239" s="141"/>
      <c r="AO239" s="566"/>
      <c r="AP239" s="567"/>
    </row>
    <row r="240" spans="1:42">
      <c r="A240" s="471">
        <v>229</v>
      </c>
      <c r="B240" s="481" t="s">
        <v>495</v>
      </c>
      <c r="C240" s="472" t="s">
        <v>496</v>
      </c>
      <c r="D240" s="550">
        <v>20718</v>
      </c>
      <c r="E240" s="549">
        <v>20584</v>
      </c>
      <c r="F240" s="550">
        <v>20602</v>
      </c>
      <c r="G240" s="549">
        <f t="shared" si="12"/>
        <v>61904</v>
      </c>
      <c r="H240" s="550">
        <v>11108</v>
      </c>
      <c r="I240" s="549">
        <v>9829</v>
      </c>
      <c r="J240" s="550">
        <v>9983</v>
      </c>
      <c r="K240" s="550">
        <f t="shared" si="13"/>
        <v>30920</v>
      </c>
      <c r="L240" s="549">
        <v>0</v>
      </c>
      <c r="M240" s="550">
        <v>0</v>
      </c>
      <c r="N240" s="549">
        <v>0</v>
      </c>
      <c r="O240" s="518">
        <f t="shared" si="14"/>
        <v>0</v>
      </c>
      <c r="P240" s="549">
        <v>70322</v>
      </c>
      <c r="Q240" s="550">
        <v>824</v>
      </c>
      <c r="R240" s="549">
        <v>68424</v>
      </c>
      <c r="S240" s="550">
        <v>69248</v>
      </c>
      <c r="T240" s="556">
        <v>98.47</v>
      </c>
      <c r="U240" s="550">
        <v>581</v>
      </c>
      <c r="V240" s="549">
        <v>1179</v>
      </c>
      <c r="W240" s="550">
        <v>70184</v>
      </c>
      <c r="X240" s="549">
        <v>8896</v>
      </c>
      <c r="Y240" s="550">
        <v>0</v>
      </c>
      <c r="Z240" s="549">
        <v>35377</v>
      </c>
      <c r="AA240" s="550">
        <v>511</v>
      </c>
      <c r="AB240" s="549">
        <v>33968</v>
      </c>
      <c r="AC240" s="550">
        <v>34479</v>
      </c>
      <c r="AD240" s="556">
        <v>97.46</v>
      </c>
      <c r="AE240" s="550">
        <v>-192</v>
      </c>
      <c r="AF240" s="549">
        <v>523</v>
      </c>
      <c r="AG240" s="550">
        <v>34299</v>
      </c>
      <c r="AH240" s="549">
        <v>3774</v>
      </c>
      <c r="AI240" s="550">
        <v>36198581.490000002</v>
      </c>
      <c r="AJ240" s="549">
        <v>51629.1</v>
      </c>
      <c r="AK240" s="550">
        <v>13.8</v>
      </c>
      <c r="AL240" s="549">
        <v>1513.3</v>
      </c>
      <c r="AM240" s="473">
        <f t="shared" si="15"/>
        <v>78151.200569999986</v>
      </c>
      <c r="AN240" s="141"/>
      <c r="AO240" s="566"/>
      <c r="AP240" s="567"/>
    </row>
    <row r="241" spans="1:42">
      <c r="A241" s="471">
        <v>230</v>
      </c>
      <c r="B241" s="481" t="s">
        <v>497</v>
      </c>
      <c r="C241" s="472" t="s">
        <v>498</v>
      </c>
      <c r="D241" s="550">
        <v>54250</v>
      </c>
      <c r="E241" s="549">
        <v>52943</v>
      </c>
      <c r="F241" s="550">
        <v>53330</v>
      </c>
      <c r="G241" s="549">
        <f t="shared" si="12"/>
        <v>160523</v>
      </c>
      <c r="H241" s="550">
        <v>65573</v>
      </c>
      <c r="I241" s="549">
        <v>60265</v>
      </c>
      <c r="J241" s="550">
        <v>59183</v>
      </c>
      <c r="K241" s="550">
        <f t="shared" si="13"/>
        <v>185021</v>
      </c>
      <c r="L241" s="549">
        <v>0</v>
      </c>
      <c r="M241" s="550">
        <v>0</v>
      </c>
      <c r="N241" s="549">
        <v>0</v>
      </c>
      <c r="O241" s="518">
        <f t="shared" si="14"/>
        <v>0</v>
      </c>
      <c r="P241" s="549">
        <v>187300</v>
      </c>
      <c r="Q241" s="550">
        <v>2019</v>
      </c>
      <c r="R241" s="549">
        <v>176490</v>
      </c>
      <c r="S241" s="550">
        <v>178509</v>
      </c>
      <c r="T241" s="556">
        <v>95.31</v>
      </c>
      <c r="U241" s="550">
        <v>5789</v>
      </c>
      <c r="V241" s="549">
        <v>2019</v>
      </c>
      <c r="W241" s="550">
        <v>184298</v>
      </c>
      <c r="X241" s="549">
        <v>28852</v>
      </c>
      <c r="Y241" s="550">
        <v>0</v>
      </c>
      <c r="Z241" s="549">
        <v>207259</v>
      </c>
      <c r="AA241" s="550">
        <v>486</v>
      </c>
      <c r="AB241" s="549">
        <v>200818</v>
      </c>
      <c r="AC241" s="550">
        <v>201304</v>
      </c>
      <c r="AD241" s="556">
        <v>97.13</v>
      </c>
      <c r="AE241" s="550">
        <v>1355</v>
      </c>
      <c r="AF241" s="549">
        <v>840</v>
      </c>
      <c r="AG241" s="550">
        <v>203013</v>
      </c>
      <c r="AH241" s="549">
        <v>24848</v>
      </c>
      <c r="AI241" s="550">
        <v>212478299.86000001</v>
      </c>
      <c r="AJ241" s="549">
        <v>154586.23000000001</v>
      </c>
      <c r="AK241" s="550">
        <v>9.1999999999999993</v>
      </c>
      <c r="AL241" s="549">
        <v>1492.81</v>
      </c>
      <c r="AM241" s="473">
        <f t="shared" si="15"/>
        <v>230781.60385830002</v>
      </c>
      <c r="AN241" s="141"/>
      <c r="AO241" s="566"/>
      <c r="AP241" s="567"/>
    </row>
    <row r="242" spans="1:42">
      <c r="A242" s="471">
        <v>231</v>
      </c>
      <c r="B242" s="481" t="s">
        <v>499</v>
      </c>
      <c r="C242" s="472" t="s">
        <v>500</v>
      </c>
      <c r="D242" s="550">
        <v>15752</v>
      </c>
      <c r="E242" s="549">
        <v>15553</v>
      </c>
      <c r="F242" s="550">
        <v>15386</v>
      </c>
      <c r="G242" s="549">
        <f t="shared" si="12"/>
        <v>46691</v>
      </c>
      <c r="H242" s="550">
        <v>10579</v>
      </c>
      <c r="I242" s="549">
        <v>7497</v>
      </c>
      <c r="J242" s="550">
        <v>6981</v>
      </c>
      <c r="K242" s="550">
        <f t="shared" si="13"/>
        <v>25057</v>
      </c>
      <c r="L242" s="549">
        <v>0</v>
      </c>
      <c r="M242" s="550">
        <v>0</v>
      </c>
      <c r="N242" s="549">
        <v>0</v>
      </c>
      <c r="O242" s="518">
        <f t="shared" si="14"/>
        <v>0</v>
      </c>
      <c r="P242" s="549">
        <v>51938</v>
      </c>
      <c r="Q242" s="550">
        <v>834</v>
      </c>
      <c r="R242" s="549">
        <v>49868</v>
      </c>
      <c r="S242" s="550">
        <v>50702</v>
      </c>
      <c r="T242" s="556">
        <v>97.62</v>
      </c>
      <c r="U242" s="550">
        <v>1035</v>
      </c>
      <c r="V242" s="549">
        <v>683</v>
      </c>
      <c r="W242" s="550">
        <v>51586</v>
      </c>
      <c r="X242" s="549">
        <v>6648</v>
      </c>
      <c r="Y242" s="550">
        <v>0</v>
      </c>
      <c r="Z242" s="549">
        <v>28598</v>
      </c>
      <c r="AA242" s="550">
        <v>192</v>
      </c>
      <c r="AB242" s="549">
        <v>27787</v>
      </c>
      <c r="AC242" s="550">
        <v>27979</v>
      </c>
      <c r="AD242" s="556">
        <v>97.84</v>
      </c>
      <c r="AE242" s="550">
        <v>-864</v>
      </c>
      <c r="AF242" s="549">
        <v>78</v>
      </c>
      <c r="AG242" s="550">
        <v>27001</v>
      </c>
      <c r="AH242" s="549">
        <v>2020</v>
      </c>
      <c r="AI242" s="550">
        <v>27880624.84</v>
      </c>
      <c r="AJ242" s="549">
        <v>40631.300000000003</v>
      </c>
      <c r="AK242" s="550">
        <v>380.4</v>
      </c>
      <c r="AL242" s="549">
        <v>1546.62</v>
      </c>
      <c r="AM242" s="473">
        <f t="shared" si="15"/>
        <v>63429.515454</v>
      </c>
      <c r="AN242" s="141"/>
      <c r="AO242" s="566"/>
      <c r="AP242" s="567"/>
    </row>
    <row r="243" spans="1:42">
      <c r="A243" s="471">
        <v>232</v>
      </c>
      <c r="B243" s="481" t="s">
        <v>813</v>
      </c>
      <c r="C243" s="472" t="s">
        <v>822</v>
      </c>
      <c r="D243" s="550">
        <v>44154</v>
      </c>
      <c r="E243" s="549">
        <v>42970</v>
      </c>
      <c r="F243" s="550">
        <v>42920</v>
      </c>
      <c r="G243" s="549">
        <f t="shared" si="12"/>
        <v>130044</v>
      </c>
      <c r="H243" s="550">
        <v>22874</v>
      </c>
      <c r="I243" s="549">
        <v>23172</v>
      </c>
      <c r="J243" s="550">
        <v>19077</v>
      </c>
      <c r="K243" s="550">
        <f t="shared" si="13"/>
        <v>65123</v>
      </c>
      <c r="L243" s="549">
        <v>0</v>
      </c>
      <c r="M243" s="550">
        <v>0</v>
      </c>
      <c r="N243" s="549">
        <v>0</v>
      </c>
      <c r="O243" s="518">
        <f t="shared" si="14"/>
        <v>0</v>
      </c>
      <c r="P243" s="549">
        <v>147518</v>
      </c>
      <c r="Q243" s="550">
        <v>1928</v>
      </c>
      <c r="R243" s="549">
        <v>143043</v>
      </c>
      <c r="S243" s="550">
        <v>144971</v>
      </c>
      <c r="T243" s="556">
        <v>98.27</v>
      </c>
      <c r="U243" s="550">
        <v>2180</v>
      </c>
      <c r="V243" s="549">
        <v>1702</v>
      </c>
      <c r="W243" s="550">
        <v>146925</v>
      </c>
      <c r="X243" s="549">
        <v>13392</v>
      </c>
      <c r="Y243" s="550">
        <v>0</v>
      </c>
      <c r="Z243" s="549">
        <v>73372</v>
      </c>
      <c r="AA243" s="550">
        <v>1030</v>
      </c>
      <c r="AB243" s="549">
        <v>71186</v>
      </c>
      <c r="AC243" s="550">
        <v>72216</v>
      </c>
      <c r="AD243" s="556">
        <v>98.42</v>
      </c>
      <c r="AE243" s="550">
        <v>237</v>
      </c>
      <c r="AF243" s="549">
        <v>1652</v>
      </c>
      <c r="AG243" s="550">
        <v>73075</v>
      </c>
      <c r="AH243" s="549">
        <v>7361</v>
      </c>
      <c r="AI243" s="550">
        <v>77150133.960000008</v>
      </c>
      <c r="AJ243" s="549">
        <v>113433.04</v>
      </c>
      <c r="AK243" s="550">
        <v>700.5</v>
      </c>
      <c r="AL243" s="549">
        <v>1488.18</v>
      </c>
      <c r="AM243" s="473">
        <f t="shared" si="15"/>
        <v>169851.25155719998</v>
      </c>
      <c r="AN243" s="141"/>
      <c r="AO243" s="566"/>
      <c r="AP243" s="567"/>
    </row>
    <row r="244" spans="1:42">
      <c r="A244" s="471">
        <v>233</v>
      </c>
      <c r="B244" s="481" t="s">
        <v>501</v>
      </c>
      <c r="C244" s="472" t="s">
        <v>502</v>
      </c>
      <c r="D244" s="550">
        <v>14800</v>
      </c>
      <c r="E244" s="549">
        <v>14509</v>
      </c>
      <c r="F244" s="550">
        <v>14418</v>
      </c>
      <c r="G244" s="549">
        <f t="shared" si="12"/>
        <v>43727</v>
      </c>
      <c r="H244" s="550">
        <v>28995</v>
      </c>
      <c r="I244" s="549">
        <v>26668</v>
      </c>
      <c r="J244" s="550">
        <v>27349</v>
      </c>
      <c r="K244" s="550">
        <f t="shared" si="13"/>
        <v>83012</v>
      </c>
      <c r="L244" s="549">
        <v>0</v>
      </c>
      <c r="M244" s="550">
        <v>0</v>
      </c>
      <c r="N244" s="549">
        <v>0</v>
      </c>
      <c r="O244" s="518">
        <f t="shared" si="14"/>
        <v>0</v>
      </c>
      <c r="P244" s="549">
        <v>48407</v>
      </c>
      <c r="Q244" s="550">
        <v>1515</v>
      </c>
      <c r="R244" s="549">
        <v>44633</v>
      </c>
      <c r="S244" s="550">
        <v>46148</v>
      </c>
      <c r="T244" s="556">
        <v>95.3</v>
      </c>
      <c r="U244" s="550">
        <v>448</v>
      </c>
      <c r="V244" s="549">
        <v>3065</v>
      </c>
      <c r="W244" s="550">
        <v>48146</v>
      </c>
      <c r="X244" s="549">
        <v>7438</v>
      </c>
      <c r="Y244" s="550">
        <v>0</v>
      </c>
      <c r="Z244" s="549">
        <v>93510</v>
      </c>
      <c r="AA244" s="550">
        <v>957</v>
      </c>
      <c r="AB244" s="549">
        <v>87803</v>
      </c>
      <c r="AC244" s="550">
        <v>88760</v>
      </c>
      <c r="AD244" s="556">
        <v>94.92</v>
      </c>
      <c r="AE244" s="550">
        <v>-2571</v>
      </c>
      <c r="AF244" s="549">
        <v>1987</v>
      </c>
      <c r="AG244" s="550">
        <v>87219</v>
      </c>
      <c r="AH244" s="549">
        <v>9652</v>
      </c>
      <c r="AI244" s="550">
        <v>96475789.590000004</v>
      </c>
      <c r="AJ244" s="549">
        <v>43183.7</v>
      </c>
      <c r="AK244" s="550">
        <v>0</v>
      </c>
      <c r="AL244" s="549">
        <v>1398.75</v>
      </c>
      <c r="AM244" s="473">
        <f t="shared" si="15"/>
        <v>60403.200374999993</v>
      </c>
      <c r="AN244" s="141"/>
      <c r="AO244" s="566"/>
      <c r="AP244" s="567"/>
    </row>
    <row r="245" spans="1:42">
      <c r="A245" s="471">
        <v>234</v>
      </c>
      <c r="B245" s="481" t="s">
        <v>503</v>
      </c>
      <c r="C245" s="472" t="s">
        <v>504</v>
      </c>
      <c r="D245" s="550">
        <v>28371</v>
      </c>
      <c r="E245" s="549">
        <v>27248</v>
      </c>
      <c r="F245" s="550">
        <v>27102</v>
      </c>
      <c r="G245" s="549">
        <f t="shared" si="12"/>
        <v>82721</v>
      </c>
      <c r="H245" s="550">
        <v>34101</v>
      </c>
      <c r="I245" s="549">
        <v>30163</v>
      </c>
      <c r="J245" s="550">
        <v>29699</v>
      </c>
      <c r="K245" s="550">
        <f t="shared" si="13"/>
        <v>93963</v>
      </c>
      <c r="L245" s="549">
        <v>0</v>
      </c>
      <c r="M245" s="550">
        <v>0</v>
      </c>
      <c r="N245" s="549">
        <v>0</v>
      </c>
      <c r="O245" s="518">
        <f t="shared" si="14"/>
        <v>0</v>
      </c>
      <c r="P245" s="549">
        <v>94094</v>
      </c>
      <c r="Q245" s="550">
        <v>3244</v>
      </c>
      <c r="R245" s="549">
        <v>89582</v>
      </c>
      <c r="S245" s="550">
        <v>92826</v>
      </c>
      <c r="T245" s="556">
        <v>98.65</v>
      </c>
      <c r="U245" s="550">
        <v>-379</v>
      </c>
      <c r="V245" s="549">
        <v>2589</v>
      </c>
      <c r="W245" s="550">
        <v>91792</v>
      </c>
      <c r="X245" s="549">
        <v>11733</v>
      </c>
      <c r="Y245" s="550">
        <v>0</v>
      </c>
      <c r="Z245" s="549">
        <v>108185</v>
      </c>
      <c r="AA245" s="550">
        <v>1440</v>
      </c>
      <c r="AB245" s="549">
        <v>105716</v>
      </c>
      <c r="AC245" s="550">
        <v>107156</v>
      </c>
      <c r="AD245" s="556">
        <v>99.05</v>
      </c>
      <c r="AE245" s="550">
        <v>-2606</v>
      </c>
      <c r="AF245" s="549">
        <v>644</v>
      </c>
      <c r="AG245" s="550">
        <v>103754</v>
      </c>
      <c r="AH245" s="549">
        <v>8962</v>
      </c>
      <c r="AI245" s="550">
        <v>112692195.82000001</v>
      </c>
      <c r="AJ245" s="549">
        <v>81781</v>
      </c>
      <c r="AK245" s="550">
        <v>0</v>
      </c>
      <c r="AL245" s="549">
        <v>1344.86</v>
      </c>
      <c r="AM245" s="473">
        <f t="shared" si="15"/>
        <v>109983.99566</v>
      </c>
      <c r="AN245" s="141"/>
      <c r="AO245" s="566"/>
      <c r="AP245" s="567"/>
    </row>
    <row r="246" spans="1:42">
      <c r="A246" s="471">
        <v>235</v>
      </c>
      <c r="B246" s="481" t="s">
        <v>505</v>
      </c>
      <c r="C246" s="472" t="s">
        <v>506</v>
      </c>
      <c r="D246" s="550">
        <v>13883</v>
      </c>
      <c r="E246" s="549">
        <v>13153</v>
      </c>
      <c r="F246" s="550">
        <v>13203</v>
      </c>
      <c r="G246" s="549">
        <f t="shared" si="12"/>
        <v>40239</v>
      </c>
      <c r="H246" s="550">
        <v>9274</v>
      </c>
      <c r="I246" s="549">
        <v>7821</v>
      </c>
      <c r="J246" s="550">
        <v>8282</v>
      </c>
      <c r="K246" s="550">
        <f t="shared" si="13"/>
        <v>25377</v>
      </c>
      <c r="L246" s="549">
        <v>0</v>
      </c>
      <c r="M246" s="550">
        <v>0</v>
      </c>
      <c r="N246" s="549">
        <v>0</v>
      </c>
      <c r="O246" s="518">
        <f t="shared" si="14"/>
        <v>0</v>
      </c>
      <c r="P246" s="549">
        <v>45752</v>
      </c>
      <c r="Q246" s="550">
        <v>665</v>
      </c>
      <c r="R246" s="549">
        <v>44325</v>
      </c>
      <c r="S246" s="550">
        <v>44990</v>
      </c>
      <c r="T246" s="556">
        <v>98.33</v>
      </c>
      <c r="U246" s="550">
        <v>597</v>
      </c>
      <c r="V246" s="549">
        <v>650</v>
      </c>
      <c r="W246" s="550">
        <v>45572</v>
      </c>
      <c r="X246" s="549">
        <v>5957</v>
      </c>
      <c r="Y246" s="550">
        <v>0</v>
      </c>
      <c r="Z246" s="549">
        <v>29427</v>
      </c>
      <c r="AA246" s="550">
        <v>203</v>
      </c>
      <c r="AB246" s="549">
        <v>28924</v>
      </c>
      <c r="AC246" s="550">
        <v>29127</v>
      </c>
      <c r="AD246" s="556">
        <v>98.98</v>
      </c>
      <c r="AE246" s="550">
        <v>-891</v>
      </c>
      <c r="AF246" s="549">
        <v>455</v>
      </c>
      <c r="AG246" s="550">
        <v>28488</v>
      </c>
      <c r="AH246" s="549">
        <v>2767</v>
      </c>
      <c r="AI246" s="550">
        <v>29937328.300000001</v>
      </c>
      <c r="AJ246" s="549">
        <v>33534.699999999997</v>
      </c>
      <c r="AK246" s="550">
        <v>101.4</v>
      </c>
      <c r="AL246" s="549">
        <v>1494.14</v>
      </c>
      <c r="AM246" s="473">
        <f t="shared" si="15"/>
        <v>50257.042454000002</v>
      </c>
      <c r="AN246" s="141"/>
      <c r="AO246" s="566"/>
      <c r="AP246" s="567"/>
    </row>
    <row r="247" spans="1:42">
      <c r="A247" s="471">
        <v>236</v>
      </c>
      <c r="B247" s="481" t="s">
        <v>507</v>
      </c>
      <c r="C247" s="472" t="s">
        <v>508</v>
      </c>
      <c r="D247" s="550">
        <v>26598</v>
      </c>
      <c r="E247" s="549">
        <v>26079</v>
      </c>
      <c r="F247" s="550">
        <v>26025</v>
      </c>
      <c r="G247" s="549">
        <f t="shared" si="12"/>
        <v>78702</v>
      </c>
      <c r="H247" s="550">
        <v>22362</v>
      </c>
      <c r="I247" s="549">
        <v>18984</v>
      </c>
      <c r="J247" s="550">
        <v>19055</v>
      </c>
      <c r="K247" s="550">
        <f t="shared" si="13"/>
        <v>60401</v>
      </c>
      <c r="L247" s="549">
        <v>0</v>
      </c>
      <c r="M247" s="550">
        <v>0</v>
      </c>
      <c r="N247" s="549">
        <v>0</v>
      </c>
      <c r="O247" s="518">
        <f t="shared" si="14"/>
        <v>0</v>
      </c>
      <c r="P247" s="549">
        <v>84658</v>
      </c>
      <c r="Q247" s="550">
        <v>691</v>
      </c>
      <c r="R247" s="549">
        <v>83351</v>
      </c>
      <c r="S247" s="550">
        <v>84042</v>
      </c>
      <c r="T247" s="556">
        <v>99.27</v>
      </c>
      <c r="U247" s="550">
        <v>359</v>
      </c>
      <c r="V247" s="549">
        <v>522</v>
      </c>
      <c r="W247" s="550">
        <v>84232</v>
      </c>
      <c r="X247" s="549">
        <v>9670</v>
      </c>
      <c r="Y247" s="550">
        <v>0</v>
      </c>
      <c r="Z247" s="549">
        <v>66736</v>
      </c>
      <c r="AA247" s="550">
        <v>3763</v>
      </c>
      <c r="AB247" s="549">
        <v>62656</v>
      </c>
      <c r="AC247" s="550">
        <v>66419</v>
      </c>
      <c r="AD247" s="556">
        <v>99.52</v>
      </c>
      <c r="AE247" s="550">
        <v>-1504</v>
      </c>
      <c r="AF247" s="549">
        <v>327</v>
      </c>
      <c r="AG247" s="550">
        <v>61479</v>
      </c>
      <c r="AH247" s="549">
        <v>6659</v>
      </c>
      <c r="AI247" s="550">
        <v>71059494.470000014</v>
      </c>
      <c r="AJ247" s="549">
        <v>61174.7</v>
      </c>
      <c r="AK247" s="550">
        <v>359.8</v>
      </c>
      <c r="AL247" s="549">
        <v>1536.27</v>
      </c>
      <c r="AM247" s="473">
        <f t="shared" si="15"/>
        <v>94533.606314999997</v>
      </c>
      <c r="AN247" s="141"/>
      <c r="AO247" s="566"/>
      <c r="AP247" s="567"/>
    </row>
    <row r="248" spans="1:42">
      <c r="A248" s="471">
        <v>237</v>
      </c>
      <c r="B248" s="481" t="s">
        <v>509</v>
      </c>
      <c r="C248" s="472" t="s">
        <v>510</v>
      </c>
      <c r="D248" s="550">
        <v>12887</v>
      </c>
      <c r="E248" s="549">
        <v>12605</v>
      </c>
      <c r="F248" s="550">
        <v>12592</v>
      </c>
      <c r="G248" s="549">
        <f t="shared" si="12"/>
        <v>38084</v>
      </c>
      <c r="H248" s="550">
        <v>7244</v>
      </c>
      <c r="I248" s="549">
        <v>6842</v>
      </c>
      <c r="J248" s="550">
        <v>6028</v>
      </c>
      <c r="K248" s="550">
        <f t="shared" si="13"/>
        <v>20114</v>
      </c>
      <c r="L248" s="549">
        <v>0</v>
      </c>
      <c r="M248" s="550">
        <v>0</v>
      </c>
      <c r="N248" s="549">
        <v>0</v>
      </c>
      <c r="O248" s="518">
        <f t="shared" si="14"/>
        <v>0</v>
      </c>
      <c r="P248" s="549">
        <v>43013</v>
      </c>
      <c r="Q248" s="550">
        <v>883</v>
      </c>
      <c r="R248" s="549">
        <v>41206</v>
      </c>
      <c r="S248" s="550">
        <v>42089</v>
      </c>
      <c r="T248" s="556">
        <v>97.85</v>
      </c>
      <c r="U248" s="550">
        <v>750</v>
      </c>
      <c r="V248" s="549">
        <v>820</v>
      </c>
      <c r="W248" s="550">
        <v>42776</v>
      </c>
      <c r="X248" s="549">
        <v>5034</v>
      </c>
      <c r="Y248" s="550">
        <v>0</v>
      </c>
      <c r="Z248" s="549">
        <v>22090</v>
      </c>
      <c r="AA248" s="550">
        <v>181</v>
      </c>
      <c r="AB248" s="549">
        <v>21535</v>
      </c>
      <c r="AC248" s="550">
        <v>21716</v>
      </c>
      <c r="AD248" s="556">
        <v>98.31</v>
      </c>
      <c r="AE248" s="550">
        <v>767</v>
      </c>
      <c r="AF248" s="549">
        <v>231</v>
      </c>
      <c r="AG248" s="550">
        <v>22533</v>
      </c>
      <c r="AH248" s="549">
        <v>3137</v>
      </c>
      <c r="AI248" s="550">
        <v>22483508.870000001</v>
      </c>
      <c r="AJ248" s="549">
        <v>32904</v>
      </c>
      <c r="AK248" s="550">
        <v>0</v>
      </c>
      <c r="AL248" s="549">
        <v>1482.14</v>
      </c>
      <c r="AM248" s="473">
        <f t="shared" si="15"/>
        <v>48768.334560000003</v>
      </c>
      <c r="AN248" s="141"/>
      <c r="AO248" s="566"/>
      <c r="AP248" s="567"/>
    </row>
    <row r="249" spans="1:42">
      <c r="A249" s="471">
        <v>238</v>
      </c>
      <c r="B249" s="481" t="s">
        <v>511</v>
      </c>
      <c r="C249" s="472" t="s">
        <v>512</v>
      </c>
      <c r="D249" s="550">
        <v>38579</v>
      </c>
      <c r="E249" s="549">
        <v>38261</v>
      </c>
      <c r="F249" s="550">
        <v>38262</v>
      </c>
      <c r="G249" s="549">
        <f t="shared" si="12"/>
        <v>115102</v>
      </c>
      <c r="H249" s="550">
        <v>44777</v>
      </c>
      <c r="I249" s="549">
        <v>38430</v>
      </c>
      <c r="J249" s="550">
        <v>35121</v>
      </c>
      <c r="K249" s="550">
        <f t="shared" si="13"/>
        <v>118328</v>
      </c>
      <c r="L249" s="549">
        <v>0</v>
      </c>
      <c r="M249" s="550">
        <v>0</v>
      </c>
      <c r="N249" s="549">
        <v>0</v>
      </c>
      <c r="O249" s="518">
        <f t="shared" si="14"/>
        <v>0</v>
      </c>
      <c r="P249" s="549">
        <v>128724</v>
      </c>
      <c r="Q249" s="550">
        <v>1806</v>
      </c>
      <c r="R249" s="549">
        <v>124709</v>
      </c>
      <c r="S249" s="550">
        <v>126515</v>
      </c>
      <c r="T249" s="556">
        <v>98.28</v>
      </c>
      <c r="U249" s="550">
        <v>2259</v>
      </c>
      <c r="V249" s="549">
        <v>1282</v>
      </c>
      <c r="W249" s="550">
        <v>128250</v>
      </c>
      <c r="X249" s="549">
        <v>16546</v>
      </c>
      <c r="Y249" s="550">
        <v>0</v>
      </c>
      <c r="Z249" s="549">
        <v>129067</v>
      </c>
      <c r="AA249" s="550">
        <v>1386</v>
      </c>
      <c r="AB249" s="549">
        <v>126676</v>
      </c>
      <c r="AC249" s="550">
        <v>128062</v>
      </c>
      <c r="AD249" s="556">
        <v>99.22</v>
      </c>
      <c r="AE249" s="550">
        <v>2944</v>
      </c>
      <c r="AF249" s="549">
        <v>1177</v>
      </c>
      <c r="AG249" s="550">
        <v>130797</v>
      </c>
      <c r="AH249" s="549">
        <v>17658</v>
      </c>
      <c r="AI249" s="550">
        <v>135691853.32999998</v>
      </c>
      <c r="AJ249" s="549">
        <v>94343</v>
      </c>
      <c r="AK249" s="550">
        <v>291.2</v>
      </c>
      <c r="AL249" s="549">
        <v>1539.27</v>
      </c>
      <c r="AM249" s="473">
        <f t="shared" si="15"/>
        <v>145667.58503399999</v>
      </c>
      <c r="AN249" s="141"/>
      <c r="AO249" s="566"/>
      <c r="AP249" s="567"/>
    </row>
    <row r="250" spans="1:42">
      <c r="A250" s="471">
        <v>239</v>
      </c>
      <c r="B250" s="481" t="s">
        <v>513</v>
      </c>
      <c r="C250" s="472" t="s">
        <v>514</v>
      </c>
      <c r="D250" s="550">
        <v>17059</v>
      </c>
      <c r="E250" s="549">
        <v>15381</v>
      </c>
      <c r="F250" s="550">
        <v>16298</v>
      </c>
      <c r="G250" s="549">
        <f t="shared" si="12"/>
        <v>48738</v>
      </c>
      <c r="H250" s="550">
        <v>9610</v>
      </c>
      <c r="I250" s="549">
        <v>7788</v>
      </c>
      <c r="J250" s="550">
        <v>7902</v>
      </c>
      <c r="K250" s="550">
        <f t="shared" si="13"/>
        <v>25300</v>
      </c>
      <c r="L250" s="549">
        <v>0</v>
      </c>
      <c r="M250" s="550">
        <v>0</v>
      </c>
      <c r="N250" s="549">
        <v>0</v>
      </c>
      <c r="O250" s="518">
        <f t="shared" si="14"/>
        <v>0</v>
      </c>
      <c r="P250" s="549">
        <v>53404</v>
      </c>
      <c r="Q250" s="550">
        <v>403</v>
      </c>
      <c r="R250" s="549">
        <v>52449</v>
      </c>
      <c r="S250" s="550">
        <v>52852</v>
      </c>
      <c r="T250" s="556">
        <v>98.97</v>
      </c>
      <c r="U250" s="550">
        <v>277</v>
      </c>
      <c r="V250" s="549">
        <v>442</v>
      </c>
      <c r="W250" s="550">
        <v>53168</v>
      </c>
      <c r="X250" s="549">
        <v>6120</v>
      </c>
      <c r="Y250" s="550">
        <v>0</v>
      </c>
      <c r="Z250" s="549">
        <v>27396</v>
      </c>
      <c r="AA250" s="550">
        <v>331</v>
      </c>
      <c r="AB250" s="549">
        <v>26856</v>
      </c>
      <c r="AC250" s="550">
        <v>27187</v>
      </c>
      <c r="AD250" s="556">
        <v>99.24</v>
      </c>
      <c r="AE250" s="550">
        <v>-527</v>
      </c>
      <c r="AF250" s="549">
        <v>155</v>
      </c>
      <c r="AG250" s="550">
        <v>26484</v>
      </c>
      <c r="AH250" s="549">
        <v>2836</v>
      </c>
      <c r="AI250" s="550">
        <v>29464247.120000001</v>
      </c>
      <c r="AJ250" s="549">
        <v>39732.01</v>
      </c>
      <c r="AK250" s="550">
        <v>68.599999999999994</v>
      </c>
      <c r="AL250" s="549">
        <v>1540.97</v>
      </c>
      <c r="AM250" s="473">
        <f t="shared" si="15"/>
        <v>61331.545991700004</v>
      </c>
      <c r="AN250" s="141"/>
      <c r="AO250" s="566"/>
      <c r="AP250" s="567"/>
    </row>
    <row r="251" spans="1:42">
      <c r="A251" s="471">
        <v>240</v>
      </c>
      <c r="B251" s="481" t="s">
        <v>515</v>
      </c>
      <c r="C251" s="472" t="s">
        <v>516</v>
      </c>
      <c r="D251" s="550">
        <v>10781</v>
      </c>
      <c r="E251" s="549">
        <v>10542</v>
      </c>
      <c r="F251" s="550">
        <v>10341</v>
      </c>
      <c r="G251" s="549">
        <f t="shared" si="12"/>
        <v>31664</v>
      </c>
      <c r="H251" s="550">
        <v>8097</v>
      </c>
      <c r="I251" s="549">
        <v>6671</v>
      </c>
      <c r="J251" s="550">
        <v>6818</v>
      </c>
      <c r="K251" s="550">
        <f t="shared" si="13"/>
        <v>21586</v>
      </c>
      <c r="L251" s="549">
        <v>0</v>
      </c>
      <c r="M251" s="550">
        <v>0</v>
      </c>
      <c r="N251" s="549">
        <v>0</v>
      </c>
      <c r="O251" s="518">
        <f t="shared" si="14"/>
        <v>0</v>
      </c>
      <c r="P251" s="549">
        <v>35417</v>
      </c>
      <c r="Q251" s="550">
        <v>530</v>
      </c>
      <c r="R251" s="549">
        <v>34145</v>
      </c>
      <c r="S251" s="550">
        <v>34675</v>
      </c>
      <c r="T251" s="556">
        <v>97.9</v>
      </c>
      <c r="U251" s="550">
        <v>453</v>
      </c>
      <c r="V251" s="549">
        <v>575</v>
      </c>
      <c r="W251" s="550">
        <v>35173</v>
      </c>
      <c r="X251" s="549">
        <v>4520</v>
      </c>
      <c r="Y251" s="550">
        <v>0</v>
      </c>
      <c r="Z251" s="549">
        <v>23153</v>
      </c>
      <c r="AA251" s="550">
        <v>163</v>
      </c>
      <c r="AB251" s="549">
        <v>22636</v>
      </c>
      <c r="AC251" s="550">
        <v>22799</v>
      </c>
      <c r="AD251" s="556">
        <v>98.47</v>
      </c>
      <c r="AE251" s="550">
        <v>-118</v>
      </c>
      <c r="AF251" s="549">
        <v>179</v>
      </c>
      <c r="AG251" s="550">
        <v>22697</v>
      </c>
      <c r="AH251" s="549">
        <v>2397</v>
      </c>
      <c r="AI251" s="550">
        <v>24857383.040000003</v>
      </c>
      <c r="AJ251" s="549">
        <v>28697</v>
      </c>
      <c r="AK251" s="550">
        <v>0</v>
      </c>
      <c r="AL251" s="549">
        <v>1441.97</v>
      </c>
      <c r="AM251" s="473">
        <f t="shared" si="15"/>
        <v>41380.213090000005</v>
      </c>
      <c r="AN251" s="141"/>
      <c r="AO251" s="566"/>
      <c r="AP251" s="567"/>
    </row>
    <row r="252" spans="1:42">
      <c r="A252" s="471">
        <v>241</v>
      </c>
      <c r="B252" s="481" t="s">
        <v>517</v>
      </c>
      <c r="C252" s="472" t="s">
        <v>518</v>
      </c>
      <c r="D252" s="550">
        <v>17963</v>
      </c>
      <c r="E252" s="549">
        <v>17778</v>
      </c>
      <c r="F252" s="550">
        <v>18330</v>
      </c>
      <c r="G252" s="549">
        <f t="shared" si="12"/>
        <v>54071</v>
      </c>
      <c r="H252" s="550">
        <v>12325</v>
      </c>
      <c r="I252" s="549">
        <v>11130</v>
      </c>
      <c r="J252" s="550">
        <v>11799</v>
      </c>
      <c r="K252" s="550">
        <f t="shared" si="13"/>
        <v>35254</v>
      </c>
      <c r="L252" s="549">
        <v>0</v>
      </c>
      <c r="M252" s="550">
        <v>0</v>
      </c>
      <c r="N252" s="549">
        <v>0</v>
      </c>
      <c r="O252" s="518">
        <f t="shared" si="14"/>
        <v>0</v>
      </c>
      <c r="P252" s="549">
        <v>59861</v>
      </c>
      <c r="Q252" s="550">
        <v>521</v>
      </c>
      <c r="R252" s="549">
        <v>58376</v>
      </c>
      <c r="S252" s="550">
        <v>58897</v>
      </c>
      <c r="T252" s="556">
        <v>98.39</v>
      </c>
      <c r="U252" s="550">
        <v>554</v>
      </c>
      <c r="V252" s="549">
        <v>549</v>
      </c>
      <c r="W252" s="550">
        <v>59479</v>
      </c>
      <c r="X252" s="549">
        <v>7451</v>
      </c>
      <c r="Y252" s="550">
        <v>0</v>
      </c>
      <c r="Z252" s="549">
        <v>38009</v>
      </c>
      <c r="AA252" s="550">
        <v>365</v>
      </c>
      <c r="AB252" s="549">
        <v>36390</v>
      </c>
      <c r="AC252" s="550">
        <v>36755</v>
      </c>
      <c r="AD252" s="556">
        <v>96.7</v>
      </c>
      <c r="AE252" s="550">
        <v>19</v>
      </c>
      <c r="AF252" s="549">
        <v>968</v>
      </c>
      <c r="AG252" s="550">
        <v>37377</v>
      </c>
      <c r="AH252" s="549">
        <v>2589</v>
      </c>
      <c r="AI252" s="550">
        <v>40017658.630000003</v>
      </c>
      <c r="AJ252" s="549">
        <v>47561.1</v>
      </c>
      <c r="AK252" s="550">
        <v>57</v>
      </c>
      <c r="AL252" s="549">
        <v>1426.03</v>
      </c>
      <c r="AM252" s="473">
        <f t="shared" si="15"/>
        <v>67904.83914299999</v>
      </c>
      <c r="AN252" s="141"/>
      <c r="AO252" s="566"/>
      <c r="AP252" s="567"/>
    </row>
    <row r="253" spans="1:42">
      <c r="A253" s="471">
        <v>242</v>
      </c>
      <c r="B253" s="481" t="s">
        <v>519</v>
      </c>
      <c r="C253" s="472" t="s">
        <v>520</v>
      </c>
      <c r="D253" s="550">
        <v>20732</v>
      </c>
      <c r="E253" s="549">
        <v>19769</v>
      </c>
      <c r="F253" s="550">
        <v>19702</v>
      </c>
      <c r="G253" s="549">
        <f t="shared" si="12"/>
        <v>60203</v>
      </c>
      <c r="H253" s="550">
        <v>12577</v>
      </c>
      <c r="I253" s="549">
        <v>11507</v>
      </c>
      <c r="J253" s="550">
        <v>11925</v>
      </c>
      <c r="K253" s="550">
        <f t="shared" si="13"/>
        <v>36009</v>
      </c>
      <c r="L253" s="549">
        <v>0</v>
      </c>
      <c r="M253" s="550">
        <v>0</v>
      </c>
      <c r="N253" s="549">
        <v>0</v>
      </c>
      <c r="O253" s="518">
        <f t="shared" si="14"/>
        <v>0</v>
      </c>
      <c r="P253" s="549">
        <v>67088</v>
      </c>
      <c r="Q253" s="550">
        <v>1093</v>
      </c>
      <c r="R253" s="549">
        <v>65072</v>
      </c>
      <c r="S253" s="550">
        <v>66165</v>
      </c>
      <c r="T253" s="556">
        <v>98.62</v>
      </c>
      <c r="U253" s="550">
        <v>737</v>
      </c>
      <c r="V253" s="549">
        <v>1057</v>
      </c>
      <c r="W253" s="550">
        <v>66866</v>
      </c>
      <c r="X253" s="549">
        <v>8384</v>
      </c>
      <c r="Y253" s="550">
        <v>0</v>
      </c>
      <c r="Z253" s="549">
        <v>38995</v>
      </c>
      <c r="AA253" s="550">
        <v>666</v>
      </c>
      <c r="AB253" s="549">
        <v>37562</v>
      </c>
      <c r="AC253" s="550">
        <v>38228</v>
      </c>
      <c r="AD253" s="556">
        <v>98.03</v>
      </c>
      <c r="AE253" s="550">
        <v>107</v>
      </c>
      <c r="AF253" s="549">
        <v>513</v>
      </c>
      <c r="AG253" s="550">
        <v>38182</v>
      </c>
      <c r="AH253" s="549">
        <v>4017</v>
      </c>
      <c r="AI253" s="550">
        <v>40567940.119999997</v>
      </c>
      <c r="AJ253" s="549">
        <v>47806.36</v>
      </c>
      <c r="AK253" s="550">
        <v>0</v>
      </c>
      <c r="AL253" s="549">
        <v>1571.55</v>
      </c>
      <c r="AM253" s="473">
        <f t="shared" si="15"/>
        <v>75130.085057999997</v>
      </c>
      <c r="AN253" s="141"/>
      <c r="AO253" s="566"/>
      <c r="AP253" s="567"/>
    </row>
    <row r="254" spans="1:42">
      <c r="A254" s="471">
        <v>243</v>
      </c>
      <c r="B254" s="481" t="s">
        <v>521</v>
      </c>
      <c r="C254" s="472" t="s">
        <v>522</v>
      </c>
      <c r="D254" s="550">
        <v>19409</v>
      </c>
      <c r="E254" s="549">
        <v>18178</v>
      </c>
      <c r="F254" s="550">
        <v>19233</v>
      </c>
      <c r="G254" s="549">
        <f t="shared" si="12"/>
        <v>56820</v>
      </c>
      <c r="H254" s="550">
        <v>8258</v>
      </c>
      <c r="I254" s="549">
        <v>8832</v>
      </c>
      <c r="J254" s="550">
        <v>8050</v>
      </c>
      <c r="K254" s="550">
        <f t="shared" si="13"/>
        <v>25140</v>
      </c>
      <c r="L254" s="549">
        <v>0</v>
      </c>
      <c r="M254" s="550">
        <v>0</v>
      </c>
      <c r="N254" s="549">
        <v>0</v>
      </c>
      <c r="O254" s="518">
        <f t="shared" si="14"/>
        <v>0</v>
      </c>
      <c r="P254" s="549">
        <v>64594</v>
      </c>
      <c r="Q254" s="550">
        <v>611</v>
      </c>
      <c r="R254" s="549">
        <v>63139</v>
      </c>
      <c r="S254" s="550">
        <v>63750</v>
      </c>
      <c r="T254" s="556">
        <v>98.69</v>
      </c>
      <c r="U254" s="550">
        <v>580</v>
      </c>
      <c r="V254" s="549">
        <v>562</v>
      </c>
      <c r="W254" s="550">
        <v>64281</v>
      </c>
      <c r="X254" s="549">
        <v>8756</v>
      </c>
      <c r="Y254" s="550">
        <v>0</v>
      </c>
      <c r="Z254" s="549">
        <v>27110</v>
      </c>
      <c r="AA254" s="550">
        <v>142</v>
      </c>
      <c r="AB254" s="549">
        <v>26566</v>
      </c>
      <c r="AC254" s="550">
        <v>26708</v>
      </c>
      <c r="AD254" s="556">
        <v>98.52</v>
      </c>
      <c r="AE254" s="550">
        <v>118</v>
      </c>
      <c r="AF254" s="549">
        <v>134</v>
      </c>
      <c r="AG254" s="550">
        <v>26818</v>
      </c>
      <c r="AH254" s="549">
        <v>2714</v>
      </c>
      <c r="AI254" s="550">
        <v>27868029.810000002</v>
      </c>
      <c r="AJ254" s="549">
        <v>47708</v>
      </c>
      <c r="AK254" s="550">
        <v>0</v>
      </c>
      <c r="AL254" s="549">
        <v>1540.85</v>
      </c>
      <c r="AM254" s="473">
        <f t="shared" si="15"/>
        <v>73510.871799999994</v>
      </c>
      <c r="AN254" s="141"/>
      <c r="AO254" s="566"/>
      <c r="AP254" s="567"/>
    </row>
    <row r="255" spans="1:42">
      <c r="A255" s="471">
        <v>244</v>
      </c>
      <c r="B255" s="481" t="s">
        <v>523</v>
      </c>
      <c r="C255" s="472" t="s">
        <v>524</v>
      </c>
      <c r="D255" s="550">
        <v>14101.51</v>
      </c>
      <c r="E255" s="549">
        <v>13851</v>
      </c>
      <c r="F255" s="550">
        <v>13781.38</v>
      </c>
      <c r="G255" s="549">
        <f t="shared" si="12"/>
        <v>41733.89</v>
      </c>
      <c r="H255" s="550">
        <v>6464.11</v>
      </c>
      <c r="I255" s="549">
        <v>5510.23</v>
      </c>
      <c r="J255" s="550">
        <v>5639.63</v>
      </c>
      <c r="K255" s="550">
        <f t="shared" si="13"/>
        <v>17613.97</v>
      </c>
      <c r="L255" s="549">
        <v>0</v>
      </c>
      <c r="M255" s="550">
        <v>0</v>
      </c>
      <c r="N255" s="549">
        <v>0</v>
      </c>
      <c r="O255" s="518">
        <f t="shared" si="14"/>
        <v>0</v>
      </c>
      <c r="P255" s="549">
        <v>46433.85</v>
      </c>
      <c r="Q255" s="550">
        <v>741.47</v>
      </c>
      <c r="R255" s="549">
        <v>45256.97</v>
      </c>
      <c r="S255" s="550">
        <v>45998.44</v>
      </c>
      <c r="T255" s="556">
        <v>99.06</v>
      </c>
      <c r="U255" s="550">
        <v>8.9</v>
      </c>
      <c r="V255" s="549">
        <v>721.82</v>
      </c>
      <c r="W255" s="550">
        <v>45987.69</v>
      </c>
      <c r="X255" s="549">
        <v>5994.38</v>
      </c>
      <c r="Y255" s="550">
        <v>0</v>
      </c>
      <c r="Z255" s="549">
        <v>20231</v>
      </c>
      <c r="AA255" s="550">
        <v>150</v>
      </c>
      <c r="AB255" s="549">
        <v>19919.669999999998</v>
      </c>
      <c r="AC255" s="550">
        <v>20069.669999999998</v>
      </c>
      <c r="AD255" s="556">
        <v>99.2</v>
      </c>
      <c r="AE255" s="550">
        <v>112</v>
      </c>
      <c r="AF255" s="549">
        <v>96</v>
      </c>
      <c r="AG255" s="550">
        <v>20127.669999999998</v>
      </c>
      <c r="AH255" s="549">
        <v>2072</v>
      </c>
      <c r="AI255" s="550">
        <v>21152164.25</v>
      </c>
      <c r="AJ255" s="549">
        <v>34882.9</v>
      </c>
      <c r="AK255" s="550">
        <v>0</v>
      </c>
      <c r="AL255" s="549">
        <v>1459.98</v>
      </c>
      <c r="AM255" s="473">
        <f t="shared" si="15"/>
        <v>50928.336342000002</v>
      </c>
      <c r="AN255" s="141"/>
      <c r="AO255" s="566"/>
      <c r="AP255" s="567"/>
    </row>
    <row r="256" spans="1:42">
      <c r="A256" s="471">
        <v>245</v>
      </c>
      <c r="B256" s="481" t="s">
        <v>525</v>
      </c>
      <c r="C256" s="472" t="s">
        <v>526</v>
      </c>
      <c r="D256" s="550">
        <v>25209</v>
      </c>
      <c r="E256" s="549">
        <v>23879</v>
      </c>
      <c r="F256" s="550">
        <v>23810</v>
      </c>
      <c r="G256" s="549">
        <f t="shared" si="12"/>
        <v>72898</v>
      </c>
      <c r="H256" s="550">
        <v>13648</v>
      </c>
      <c r="I256" s="549">
        <v>12189.29</v>
      </c>
      <c r="J256" s="550">
        <v>11512</v>
      </c>
      <c r="K256" s="550">
        <f t="shared" si="13"/>
        <v>37349.29</v>
      </c>
      <c r="L256" s="549">
        <v>0</v>
      </c>
      <c r="M256" s="550">
        <v>0</v>
      </c>
      <c r="N256" s="549">
        <v>0</v>
      </c>
      <c r="O256" s="518">
        <f t="shared" si="14"/>
        <v>0</v>
      </c>
      <c r="P256" s="549">
        <v>80173</v>
      </c>
      <c r="Q256" s="550">
        <v>1236</v>
      </c>
      <c r="R256" s="549">
        <v>77958</v>
      </c>
      <c r="S256" s="550">
        <v>79194</v>
      </c>
      <c r="T256" s="556">
        <v>98.78</v>
      </c>
      <c r="U256" s="550">
        <v>565</v>
      </c>
      <c r="V256" s="549">
        <v>1582</v>
      </c>
      <c r="W256" s="550">
        <v>80105</v>
      </c>
      <c r="X256" s="549">
        <v>10427</v>
      </c>
      <c r="Y256" s="550">
        <v>0</v>
      </c>
      <c r="Z256" s="549">
        <v>41717</v>
      </c>
      <c r="AA256" s="550">
        <v>497</v>
      </c>
      <c r="AB256" s="549">
        <v>40615</v>
      </c>
      <c r="AC256" s="550">
        <v>41112</v>
      </c>
      <c r="AD256" s="556">
        <v>98.55</v>
      </c>
      <c r="AE256" s="550">
        <v>-747</v>
      </c>
      <c r="AF256" s="549">
        <v>428</v>
      </c>
      <c r="AG256" s="550">
        <v>40296</v>
      </c>
      <c r="AH256" s="549">
        <v>3286</v>
      </c>
      <c r="AI256" s="550">
        <v>44026252.469999999</v>
      </c>
      <c r="AJ256" s="549">
        <v>56498.1</v>
      </c>
      <c r="AK256" s="550">
        <v>602</v>
      </c>
      <c r="AL256" s="549">
        <v>1533.44</v>
      </c>
      <c r="AM256" s="473">
        <f t="shared" si="15"/>
        <v>87559.57734399999</v>
      </c>
      <c r="AN256" s="141"/>
      <c r="AO256" s="566"/>
      <c r="AP256" s="567"/>
    </row>
    <row r="257" spans="1:42">
      <c r="A257" s="471">
        <v>246</v>
      </c>
      <c r="B257" s="481" t="s">
        <v>527</v>
      </c>
      <c r="C257" s="472" t="s">
        <v>528</v>
      </c>
      <c r="D257" s="550">
        <v>14937</v>
      </c>
      <c r="E257" s="549">
        <v>14643</v>
      </c>
      <c r="F257" s="550">
        <v>14708</v>
      </c>
      <c r="G257" s="549">
        <f t="shared" si="12"/>
        <v>44288</v>
      </c>
      <c r="H257" s="550">
        <v>11003</v>
      </c>
      <c r="I257" s="549">
        <v>10622</v>
      </c>
      <c r="J257" s="550">
        <v>9056</v>
      </c>
      <c r="K257" s="550">
        <f t="shared" si="13"/>
        <v>30681</v>
      </c>
      <c r="L257" s="549">
        <v>0</v>
      </c>
      <c r="M257" s="550">
        <v>0</v>
      </c>
      <c r="N257" s="549">
        <v>0</v>
      </c>
      <c r="O257" s="518">
        <f t="shared" si="14"/>
        <v>0</v>
      </c>
      <c r="P257" s="549">
        <v>51564</v>
      </c>
      <c r="Q257" s="550">
        <v>568</v>
      </c>
      <c r="R257" s="549">
        <v>49756</v>
      </c>
      <c r="S257" s="550">
        <v>50324</v>
      </c>
      <c r="T257" s="556">
        <v>97.6</v>
      </c>
      <c r="U257" s="550">
        <v>510</v>
      </c>
      <c r="V257" s="549">
        <v>585</v>
      </c>
      <c r="W257" s="550">
        <v>50851</v>
      </c>
      <c r="X257" s="549">
        <v>6372</v>
      </c>
      <c r="Y257" s="550">
        <v>0</v>
      </c>
      <c r="Z257" s="549">
        <v>34861</v>
      </c>
      <c r="AA257" s="550">
        <v>845</v>
      </c>
      <c r="AB257" s="549">
        <v>33235</v>
      </c>
      <c r="AC257" s="550">
        <v>34080</v>
      </c>
      <c r="AD257" s="556">
        <v>97.76</v>
      </c>
      <c r="AE257" s="550">
        <v>-35</v>
      </c>
      <c r="AF257" s="549">
        <v>399</v>
      </c>
      <c r="AG257" s="550">
        <v>33599</v>
      </c>
      <c r="AH257" s="549">
        <v>3629</v>
      </c>
      <c r="AI257" s="550">
        <v>35873497.300000004</v>
      </c>
      <c r="AJ257" s="549">
        <v>37695.730000000003</v>
      </c>
      <c r="AK257" s="550">
        <v>0</v>
      </c>
      <c r="AL257" s="549">
        <v>1517.98</v>
      </c>
      <c r="AM257" s="473">
        <f t="shared" si="15"/>
        <v>57221.364225400008</v>
      </c>
      <c r="AN257" s="141"/>
      <c r="AO257" s="566"/>
      <c r="AP257" s="567"/>
    </row>
    <row r="258" spans="1:42">
      <c r="A258" s="471">
        <v>247</v>
      </c>
      <c r="B258" s="481" t="s">
        <v>529</v>
      </c>
      <c r="C258" s="472" t="s">
        <v>530</v>
      </c>
      <c r="D258" s="550">
        <v>24279</v>
      </c>
      <c r="E258" s="549">
        <v>23577</v>
      </c>
      <c r="F258" s="550">
        <v>24044</v>
      </c>
      <c r="G258" s="549">
        <f t="shared" si="12"/>
        <v>71900</v>
      </c>
      <c r="H258" s="550">
        <v>13934</v>
      </c>
      <c r="I258" s="549">
        <v>11479</v>
      </c>
      <c r="J258" s="550">
        <v>11603</v>
      </c>
      <c r="K258" s="550">
        <f t="shared" si="13"/>
        <v>37016</v>
      </c>
      <c r="L258" s="549">
        <v>0</v>
      </c>
      <c r="M258" s="550">
        <v>0</v>
      </c>
      <c r="N258" s="549">
        <v>0</v>
      </c>
      <c r="O258" s="518">
        <f t="shared" si="14"/>
        <v>0</v>
      </c>
      <c r="P258" s="549">
        <v>81247</v>
      </c>
      <c r="Q258" s="550">
        <v>734</v>
      </c>
      <c r="R258" s="549">
        <v>78722</v>
      </c>
      <c r="S258" s="550">
        <v>79456</v>
      </c>
      <c r="T258" s="556">
        <v>97.8</v>
      </c>
      <c r="U258" s="550">
        <v>1239</v>
      </c>
      <c r="V258" s="549">
        <v>834</v>
      </c>
      <c r="W258" s="550">
        <v>80795</v>
      </c>
      <c r="X258" s="549">
        <v>10258</v>
      </c>
      <c r="Y258" s="550">
        <v>0</v>
      </c>
      <c r="Z258" s="549">
        <v>41842</v>
      </c>
      <c r="AA258" s="550">
        <v>91</v>
      </c>
      <c r="AB258" s="549">
        <v>40239</v>
      </c>
      <c r="AC258" s="550">
        <v>40330</v>
      </c>
      <c r="AD258" s="556">
        <v>96.39</v>
      </c>
      <c r="AE258" s="550">
        <v>25</v>
      </c>
      <c r="AF258" s="549">
        <v>487</v>
      </c>
      <c r="AG258" s="550">
        <v>40751</v>
      </c>
      <c r="AH258" s="549">
        <v>3883</v>
      </c>
      <c r="AI258" s="550">
        <v>43676385.290000007</v>
      </c>
      <c r="AJ258" s="549">
        <v>61518.43</v>
      </c>
      <c r="AK258" s="550">
        <v>0</v>
      </c>
      <c r="AL258" s="549">
        <v>1490.64</v>
      </c>
      <c r="AM258" s="473">
        <f t="shared" si="15"/>
        <v>91701.832495200011</v>
      </c>
      <c r="AN258" s="141"/>
      <c r="AO258" s="566"/>
      <c r="AP258" s="567"/>
    </row>
    <row r="259" spans="1:42">
      <c r="A259" s="471">
        <v>248</v>
      </c>
      <c r="B259" s="481" t="s">
        <v>531</v>
      </c>
      <c r="C259" s="472" t="s">
        <v>532</v>
      </c>
      <c r="D259" s="550">
        <v>15577</v>
      </c>
      <c r="E259" s="549">
        <v>14886</v>
      </c>
      <c r="F259" s="550">
        <v>14668</v>
      </c>
      <c r="G259" s="549">
        <f t="shared" si="12"/>
        <v>45131</v>
      </c>
      <c r="H259" s="550">
        <v>6619</v>
      </c>
      <c r="I259" s="549">
        <v>6816</v>
      </c>
      <c r="J259" s="550">
        <v>5646</v>
      </c>
      <c r="K259" s="550">
        <f t="shared" si="13"/>
        <v>19081</v>
      </c>
      <c r="L259" s="549">
        <v>0</v>
      </c>
      <c r="M259" s="550">
        <v>0</v>
      </c>
      <c r="N259" s="549">
        <v>0</v>
      </c>
      <c r="O259" s="518">
        <f t="shared" si="14"/>
        <v>0</v>
      </c>
      <c r="P259" s="549">
        <v>50758</v>
      </c>
      <c r="Q259" s="550">
        <v>605</v>
      </c>
      <c r="R259" s="549">
        <v>49146</v>
      </c>
      <c r="S259" s="550">
        <v>49751</v>
      </c>
      <c r="T259" s="556">
        <v>98.02</v>
      </c>
      <c r="U259" s="550">
        <v>806</v>
      </c>
      <c r="V259" s="549">
        <v>649</v>
      </c>
      <c r="W259" s="550">
        <v>50601</v>
      </c>
      <c r="X259" s="549">
        <v>6294</v>
      </c>
      <c r="Y259" s="550">
        <v>0</v>
      </c>
      <c r="Z259" s="549">
        <v>21305</v>
      </c>
      <c r="AA259" s="550">
        <v>168</v>
      </c>
      <c r="AB259" s="549">
        <v>20506</v>
      </c>
      <c r="AC259" s="550">
        <v>20674</v>
      </c>
      <c r="AD259" s="556">
        <v>97.04</v>
      </c>
      <c r="AE259" s="550">
        <v>60</v>
      </c>
      <c r="AF259" s="549">
        <v>87</v>
      </c>
      <c r="AG259" s="550">
        <v>20653</v>
      </c>
      <c r="AH259" s="549">
        <v>3433</v>
      </c>
      <c r="AI259" s="550">
        <v>21127756.550000001</v>
      </c>
      <c r="AJ259" s="549">
        <v>41321.19</v>
      </c>
      <c r="AK259" s="550">
        <v>0</v>
      </c>
      <c r="AL259" s="549">
        <v>1417.42</v>
      </c>
      <c r="AM259" s="473">
        <f t="shared" si="15"/>
        <v>58569.481129800006</v>
      </c>
      <c r="AN259" s="141"/>
      <c r="AO259" s="566"/>
      <c r="AP259" s="567"/>
    </row>
    <row r="260" spans="1:42">
      <c r="A260" s="471">
        <v>249</v>
      </c>
      <c r="B260" s="481" t="s">
        <v>533</v>
      </c>
      <c r="C260" s="472" t="s">
        <v>534</v>
      </c>
      <c r="D260" s="550">
        <v>14953</v>
      </c>
      <c r="E260" s="549">
        <v>14732</v>
      </c>
      <c r="F260" s="550">
        <v>14611</v>
      </c>
      <c r="G260" s="549">
        <f t="shared" si="12"/>
        <v>44296</v>
      </c>
      <c r="H260" s="550">
        <v>11780</v>
      </c>
      <c r="I260" s="549">
        <v>8646</v>
      </c>
      <c r="J260" s="550">
        <v>7524</v>
      </c>
      <c r="K260" s="550">
        <f t="shared" si="13"/>
        <v>27950</v>
      </c>
      <c r="L260" s="549">
        <v>0</v>
      </c>
      <c r="M260" s="550">
        <v>0</v>
      </c>
      <c r="N260" s="549">
        <v>0</v>
      </c>
      <c r="O260" s="518">
        <f t="shared" si="14"/>
        <v>0</v>
      </c>
      <c r="P260" s="549">
        <v>48846</v>
      </c>
      <c r="Q260" s="550">
        <v>634</v>
      </c>
      <c r="R260" s="549">
        <v>46816</v>
      </c>
      <c r="S260" s="550">
        <v>47450</v>
      </c>
      <c r="T260" s="556">
        <v>97.14</v>
      </c>
      <c r="U260" s="550">
        <v>996</v>
      </c>
      <c r="V260" s="549">
        <v>785</v>
      </c>
      <c r="W260" s="550">
        <v>48597</v>
      </c>
      <c r="X260" s="549">
        <v>6534</v>
      </c>
      <c r="Y260" s="550">
        <v>0</v>
      </c>
      <c r="Z260" s="549">
        <v>30116</v>
      </c>
      <c r="AA260" s="550">
        <v>141</v>
      </c>
      <c r="AB260" s="549">
        <v>29197</v>
      </c>
      <c r="AC260" s="550">
        <v>29338</v>
      </c>
      <c r="AD260" s="556">
        <v>97.42</v>
      </c>
      <c r="AE260" s="550">
        <v>337</v>
      </c>
      <c r="AF260" s="549">
        <v>103</v>
      </c>
      <c r="AG260" s="550">
        <v>29637</v>
      </c>
      <c r="AH260" s="549">
        <v>4091</v>
      </c>
      <c r="AI260" s="550">
        <v>31521783.620000001</v>
      </c>
      <c r="AJ260" s="549">
        <v>46003</v>
      </c>
      <c r="AK260" s="550">
        <v>0</v>
      </c>
      <c r="AL260" s="549">
        <v>1451.3</v>
      </c>
      <c r="AM260" s="473">
        <f t="shared" si="15"/>
        <v>66764.153900000005</v>
      </c>
      <c r="AN260" s="141"/>
      <c r="AO260" s="566"/>
      <c r="AP260" s="567"/>
    </row>
    <row r="261" spans="1:42">
      <c r="A261" s="471">
        <v>250</v>
      </c>
      <c r="B261" s="481" t="s">
        <v>535</v>
      </c>
      <c r="C261" s="472" t="s">
        <v>536</v>
      </c>
      <c r="D261" s="550">
        <v>23927</v>
      </c>
      <c r="E261" s="549">
        <v>23976</v>
      </c>
      <c r="F261" s="550">
        <v>23595</v>
      </c>
      <c r="G261" s="549">
        <f t="shared" si="12"/>
        <v>71498</v>
      </c>
      <c r="H261" s="550">
        <v>33378</v>
      </c>
      <c r="I261" s="549">
        <v>29072</v>
      </c>
      <c r="J261" s="550">
        <v>27024</v>
      </c>
      <c r="K261" s="550">
        <f t="shared" si="13"/>
        <v>89474</v>
      </c>
      <c r="L261" s="549">
        <v>0</v>
      </c>
      <c r="M261" s="550">
        <v>0</v>
      </c>
      <c r="N261" s="549">
        <v>0</v>
      </c>
      <c r="O261" s="518">
        <f t="shared" si="14"/>
        <v>0</v>
      </c>
      <c r="P261" s="549">
        <v>80174</v>
      </c>
      <c r="Q261" s="550">
        <v>726</v>
      </c>
      <c r="R261" s="549">
        <v>75829</v>
      </c>
      <c r="S261" s="550">
        <v>76555</v>
      </c>
      <c r="T261" s="556">
        <v>95.49</v>
      </c>
      <c r="U261" s="550">
        <v>1345</v>
      </c>
      <c r="V261" s="549">
        <v>1190</v>
      </c>
      <c r="W261" s="550">
        <v>78364</v>
      </c>
      <c r="X261" s="549">
        <v>11245</v>
      </c>
      <c r="Y261" s="550">
        <v>0</v>
      </c>
      <c r="Z261" s="549">
        <v>102557</v>
      </c>
      <c r="AA261" s="550">
        <v>607</v>
      </c>
      <c r="AB261" s="549">
        <v>100544</v>
      </c>
      <c r="AC261" s="550">
        <v>101151</v>
      </c>
      <c r="AD261" s="556">
        <v>98.63</v>
      </c>
      <c r="AE261" s="550">
        <v>-2948</v>
      </c>
      <c r="AF261" s="549">
        <v>426</v>
      </c>
      <c r="AG261" s="550">
        <v>98022</v>
      </c>
      <c r="AH261" s="549">
        <v>8729</v>
      </c>
      <c r="AI261" s="550">
        <v>108664531.33999999</v>
      </c>
      <c r="AJ261" s="549">
        <v>68851.399999999994</v>
      </c>
      <c r="AK261" s="550">
        <v>0</v>
      </c>
      <c r="AL261" s="549">
        <v>1475.42</v>
      </c>
      <c r="AM261" s="473">
        <f t="shared" si="15"/>
        <v>101584.732588</v>
      </c>
      <c r="AN261" s="141"/>
      <c r="AO261" s="566"/>
      <c r="AP261" s="567"/>
    </row>
    <row r="262" spans="1:42">
      <c r="A262" s="471">
        <v>251</v>
      </c>
      <c r="B262" s="481" t="s">
        <v>537</v>
      </c>
      <c r="C262" s="472" t="s">
        <v>538</v>
      </c>
      <c r="D262" s="550">
        <v>19647</v>
      </c>
      <c r="E262" s="549">
        <v>19254</v>
      </c>
      <c r="F262" s="550">
        <v>19447</v>
      </c>
      <c r="G262" s="549">
        <f t="shared" si="12"/>
        <v>58348</v>
      </c>
      <c r="H262" s="550">
        <v>14427</v>
      </c>
      <c r="I262" s="549">
        <v>12019</v>
      </c>
      <c r="J262" s="550">
        <v>11300</v>
      </c>
      <c r="K262" s="550">
        <f t="shared" si="13"/>
        <v>37746</v>
      </c>
      <c r="L262" s="549">
        <v>0</v>
      </c>
      <c r="M262" s="550">
        <v>0</v>
      </c>
      <c r="N262" s="549">
        <v>0</v>
      </c>
      <c r="O262" s="518">
        <f t="shared" si="14"/>
        <v>0</v>
      </c>
      <c r="P262" s="549">
        <v>68795</v>
      </c>
      <c r="Q262" s="550">
        <v>756</v>
      </c>
      <c r="R262" s="549">
        <v>66620</v>
      </c>
      <c r="S262" s="550">
        <v>67376</v>
      </c>
      <c r="T262" s="556">
        <v>97.94</v>
      </c>
      <c r="U262" s="550">
        <v>960</v>
      </c>
      <c r="V262" s="549">
        <v>750</v>
      </c>
      <c r="W262" s="550">
        <v>68330</v>
      </c>
      <c r="X262" s="549">
        <v>13479</v>
      </c>
      <c r="Y262" s="550">
        <v>0</v>
      </c>
      <c r="Z262" s="549">
        <v>44476</v>
      </c>
      <c r="AA262" s="550">
        <v>249</v>
      </c>
      <c r="AB262" s="549">
        <v>43051</v>
      </c>
      <c r="AC262" s="550">
        <v>43300</v>
      </c>
      <c r="AD262" s="556">
        <v>97.36</v>
      </c>
      <c r="AE262" s="550">
        <v>-748</v>
      </c>
      <c r="AF262" s="549">
        <v>319</v>
      </c>
      <c r="AG262" s="550">
        <v>42622</v>
      </c>
      <c r="AH262" s="549">
        <v>6852</v>
      </c>
      <c r="AI262" s="550">
        <v>46531286.350000001</v>
      </c>
      <c r="AJ262" s="549">
        <v>64377.1</v>
      </c>
      <c r="AK262" s="550">
        <v>0</v>
      </c>
      <c r="AL262" s="549">
        <v>1351.41</v>
      </c>
      <c r="AM262" s="473">
        <f t="shared" si="15"/>
        <v>86999.856711000015</v>
      </c>
      <c r="AN262" s="141"/>
      <c r="AO262" s="566"/>
      <c r="AP262" s="567"/>
    </row>
    <row r="263" spans="1:42">
      <c r="A263" s="471">
        <v>252</v>
      </c>
      <c r="B263" s="481" t="s">
        <v>539</v>
      </c>
      <c r="C263" s="472" t="s">
        <v>540</v>
      </c>
      <c r="D263" s="550">
        <v>31307</v>
      </c>
      <c r="E263" s="549">
        <v>28819</v>
      </c>
      <c r="F263" s="550">
        <v>27806</v>
      </c>
      <c r="G263" s="549">
        <f t="shared" si="12"/>
        <v>87932</v>
      </c>
      <c r="H263" s="550">
        <v>67464</v>
      </c>
      <c r="I263" s="549">
        <v>58161</v>
      </c>
      <c r="J263" s="550">
        <v>51689</v>
      </c>
      <c r="K263" s="550">
        <f t="shared" si="13"/>
        <v>177314</v>
      </c>
      <c r="L263" s="549">
        <v>0</v>
      </c>
      <c r="M263" s="550">
        <v>0</v>
      </c>
      <c r="N263" s="549">
        <v>0</v>
      </c>
      <c r="O263" s="518">
        <f t="shared" si="14"/>
        <v>0</v>
      </c>
      <c r="P263" s="549">
        <v>99081</v>
      </c>
      <c r="Q263" s="550">
        <v>3037</v>
      </c>
      <c r="R263" s="549">
        <v>90443</v>
      </c>
      <c r="S263" s="550">
        <v>93480</v>
      </c>
      <c r="T263" s="556">
        <v>94.35</v>
      </c>
      <c r="U263" s="550">
        <v>2803</v>
      </c>
      <c r="V263" s="549">
        <v>3749</v>
      </c>
      <c r="W263" s="550">
        <v>96995</v>
      </c>
      <c r="X263" s="549">
        <v>12676</v>
      </c>
      <c r="Y263" s="550">
        <v>0</v>
      </c>
      <c r="Z263" s="549">
        <v>204541</v>
      </c>
      <c r="AA263" s="550">
        <v>3762</v>
      </c>
      <c r="AB263" s="549">
        <v>197124</v>
      </c>
      <c r="AC263" s="550">
        <v>200886</v>
      </c>
      <c r="AD263" s="556">
        <v>98.21</v>
      </c>
      <c r="AE263" s="550">
        <v>4486</v>
      </c>
      <c r="AF263" s="549">
        <v>4124</v>
      </c>
      <c r="AG263" s="550">
        <v>205734</v>
      </c>
      <c r="AH263" s="549">
        <v>35002</v>
      </c>
      <c r="AI263" s="550">
        <v>209333058.15000001</v>
      </c>
      <c r="AJ263" s="549">
        <v>105808</v>
      </c>
      <c r="AK263" s="550">
        <v>0</v>
      </c>
      <c r="AL263" s="549">
        <v>1215</v>
      </c>
      <c r="AM263" s="473">
        <f t="shared" si="15"/>
        <v>128556.72</v>
      </c>
      <c r="AN263" s="141"/>
      <c r="AO263" s="566"/>
      <c r="AP263" s="567"/>
    </row>
    <row r="264" spans="1:42">
      <c r="A264" s="471">
        <v>253</v>
      </c>
      <c r="B264" s="481" t="s">
        <v>541</v>
      </c>
      <c r="C264" s="472" t="s">
        <v>542</v>
      </c>
      <c r="D264" s="550">
        <v>17064</v>
      </c>
      <c r="E264" s="549">
        <v>16921</v>
      </c>
      <c r="F264" s="550">
        <v>16810</v>
      </c>
      <c r="G264" s="549">
        <f t="shared" si="12"/>
        <v>50795</v>
      </c>
      <c r="H264" s="550">
        <v>14490</v>
      </c>
      <c r="I264" s="549">
        <v>11262</v>
      </c>
      <c r="J264" s="550">
        <v>10839</v>
      </c>
      <c r="K264" s="550">
        <f t="shared" si="13"/>
        <v>36591</v>
      </c>
      <c r="L264" s="549">
        <v>0</v>
      </c>
      <c r="M264" s="550">
        <v>0</v>
      </c>
      <c r="N264" s="549">
        <v>0</v>
      </c>
      <c r="O264" s="518">
        <f t="shared" si="14"/>
        <v>0</v>
      </c>
      <c r="P264" s="549">
        <v>56199</v>
      </c>
      <c r="Q264" s="550">
        <v>606</v>
      </c>
      <c r="R264" s="549">
        <v>54764</v>
      </c>
      <c r="S264" s="550">
        <v>55370</v>
      </c>
      <c r="T264" s="556">
        <v>98.52</v>
      </c>
      <c r="U264" s="550">
        <v>410</v>
      </c>
      <c r="V264" s="549">
        <v>760</v>
      </c>
      <c r="W264" s="550">
        <v>55934</v>
      </c>
      <c r="X264" s="549">
        <v>6918</v>
      </c>
      <c r="Y264" s="550">
        <v>0</v>
      </c>
      <c r="Z264" s="549">
        <v>42426</v>
      </c>
      <c r="AA264" s="550">
        <v>267</v>
      </c>
      <c r="AB264" s="549">
        <v>41864</v>
      </c>
      <c r="AC264" s="550">
        <v>42131</v>
      </c>
      <c r="AD264" s="556">
        <v>99.3</v>
      </c>
      <c r="AE264" s="550">
        <v>1807</v>
      </c>
      <c r="AF264" s="549">
        <v>613</v>
      </c>
      <c r="AG264" s="550">
        <v>44284</v>
      </c>
      <c r="AH264" s="549">
        <v>4503</v>
      </c>
      <c r="AI264" s="550">
        <v>45132498.329999998</v>
      </c>
      <c r="AJ264" s="549">
        <v>40667.300000000003</v>
      </c>
      <c r="AK264" s="550">
        <v>0</v>
      </c>
      <c r="AL264" s="549">
        <v>1555.63</v>
      </c>
      <c r="AM264" s="473">
        <f t="shared" si="15"/>
        <v>63263.271899000014</v>
      </c>
      <c r="AN264" s="141"/>
      <c r="AO264" s="566"/>
      <c r="AP264" s="567"/>
    </row>
    <row r="265" spans="1:42">
      <c r="A265" s="471">
        <v>254</v>
      </c>
      <c r="B265" s="481" t="s">
        <v>543</v>
      </c>
      <c r="C265" s="472" t="s">
        <v>544</v>
      </c>
      <c r="D265" s="550">
        <v>25982</v>
      </c>
      <c r="E265" s="549">
        <v>25121</v>
      </c>
      <c r="F265" s="550">
        <v>25526</v>
      </c>
      <c r="G265" s="549">
        <f t="shared" si="12"/>
        <v>76629</v>
      </c>
      <c r="H265" s="550">
        <v>20279</v>
      </c>
      <c r="I265" s="549">
        <v>17914</v>
      </c>
      <c r="J265" s="550">
        <v>16874</v>
      </c>
      <c r="K265" s="550">
        <f t="shared" si="13"/>
        <v>55067</v>
      </c>
      <c r="L265" s="549">
        <v>0</v>
      </c>
      <c r="M265" s="550">
        <v>0</v>
      </c>
      <c r="N265" s="549">
        <v>0</v>
      </c>
      <c r="O265" s="518">
        <f t="shared" si="14"/>
        <v>0</v>
      </c>
      <c r="P265" s="549">
        <v>86149</v>
      </c>
      <c r="Q265" s="550">
        <v>1091</v>
      </c>
      <c r="R265" s="549">
        <v>83499</v>
      </c>
      <c r="S265" s="550">
        <v>84590</v>
      </c>
      <c r="T265" s="556">
        <v>98.19</v>
      </c>
      <c r="U265" s="550">
        <v>607</v>
      </c>
      <c r="V265" s="549">
        <v>1064</v>
      </c>
      <c r="W265" s="550">
        <v>85170</v>
      </c>
      <c r="X265" s="549">
        <v>10744</v>
      </c>
      <c r="Y265" s="550">
        <v>0</v>
      </c>
      <c r="Z265" s="549">
        <v>62122</v>
      </c>
      <c r="AA265" s="550">
        <v>152</v>
      </c>
      <c r="AB265" s="549">
        <v>61016</v>
      </c>
      <c r="AC265" s="550">
        <v>61168</v>
      </c>
      <c r="AD265" s="556">
        <v>98.46</v>
      </c>
      <c r="AE265" s="550">
        <v>-1753</v>
      </c>
      <c r="AF265" s="549">
        <v>152</v>
      </c>
      <c r="AG265" s="550">
        <v>59415</v>
      </c>
      <c r="AH265" s="549">
        <v>5121</v>
      </c>
      <c r="AI265" s="550">
        <v>65852901.899999999</v>
      </c>
      <c r="AJ265" s="549">
        <v>63078</v>
      </c>
      <c r="AK265" s="550">
        <v>0</v>
      </c>
      <c r="AL265" s="549">
        <v>1473.46</v>
      </c>
      <c r="AM265" s="473">
        <f t="shared" si="15"/>
        <v>92942.909879999992</v>
      </c>
      <c r="AN265" s="141"/>
      <c r="AO265" s="566"/>
      <c r="AP265" s="567"/>
    </row>
    <row r="266" spans="1:42">
      <c r="A266" s="471">
        <v>255</v>
      </c>
      <c r="B266" s="481" t="s">
        <v>545</v>
      </c>
      <c r="C266" s="472" t="s">
        <v>546</v>
      </c>
      <c r="D266" s="550">
        <v>15134</v>
      </c>
      <c r="E266" s="549">
        <v>15326</v>
      </c>
      <c r="F266" s="550">
        <v>15223</v>
      </c>
      <c r="G266" s="549">
        <f t="shared" si="12"/>
        <v>45683</v>
      </c>
      <c r="H266" s="550">
        <v>14500</v>
      </c>
      <c r="I266" s="549">
        <v>13640</v>
      </c>
      <c r="J266" s="550">
        <v>12210</v>
      </c>
      <c r="K266" s="550">
        <f t="shared" si="13"/>
        <v>40350</v>
      </c>
      <c r="L266" s="549">
        <v>0</v>
      </c>
      <c r="M266" s="550">
        <v>0</v>
      </c>
      <c r="N266" s="549">
        <v>0</v>
      </c>
      <c r="O266" s="518">
        <f t="shared" si="14"/>
        <v>0</v>
      </c>
      <c r="P266" s="549">
        <v>51726</v>
      </c>
      <c r="Q266" s="550">
        <v>502</v>
      </c>
      <c r="R266" s="549">
        <v>50459</v>
      </c>
      <c r="S266" s="550">
        <v>50961</v>
      </c>
      <c r="T266" s="556">
        <v>98.52</v>
      </c>
      <c r="U266" s="550">
        <v>634</v>
      </c>
      <c r="V266" s="549">
        <v>592</v>
      </c>
      <c r="W266" s="550">
        <v>51685</v>
      </c>
      <c r="X266" s="549">
        <v>6202</v>
      </c>
      <c r="Y266" s="550">
        <v>0</v>
      </c>
      <c r="Z266" s="549">
        <v>44500</v>
      </c>
      <c r="AA266" s="550">
        <v>723</v>
      </c>
      <c r="AB266" s="549">
        <v>43088</v>
      </c>
      <c r="AC266" s="550">
        <v>43811</v>
      </c>
      <c r="AD266" s="556">
        <v>98.45</v>
      </c>
      <c r="AE266" s="550">
        <v>-140</v>
      </c>
      <c r="AF266" s="549">
        <v>171</v>
      </c>
      <c r="AG266" s="550">
        <v>43119</v>
      </c>
      <c r="AH266" s="549">
        <v>4296</v>
      </c>
      <c r="AI266" s="550">
        <v>47078956.370000005</v>
      </c>
      <c r="AJ266" s="549">
        <v>38426.26</v>
      </c>
      <c r="AK266" s="550">
        <v>314.8</v>
      </c>
      <c r="AL266" s="549">
        <v>1511.6</v>
      </c>
      <c r="AM266" s="473">
        <f t="shared" si="15"/>
        <v>58560.986296000003</v>
      </c>
      <c r="AN266" s="141"/>
      <c r="AO266" s="566"/>
      <c r="AP266" s="567"/>
    </row>
    <row r="267" spans="1:42">
      <c r="A267" s="471">
        <v>256</v>
      </c>
      <c r="B267" s="481" t="s">
        <v>547</v>
      </c>
      <c r="C267" s="472" t="s">
        <v>548</v>
      </c>
      <c r="D267" s="550">
        <v>18326</v>
      </c>
      <c r="E267" s="549">
        <v>18341</v>
      </c>
      <c r="F267" s="550">
        <v>18178</v>
      </c>
      <c r="G267" s="549">
        <f t="shared" si="12"/>
        <v>54845</v>
      </c>
      <c r="H267" s="550">
        <v>17850</v>
      </c>
      <c r="I267" s="549">
        <v>14197</v>
      </c>
      <c r="J267" s="550">
        <v>14467</v>
      </c>
      <c r="K267" s="550">
        <f t="shared" si="13"/>
        <v>46514</v>
      </c>
      <c r="L267" s="549">
        <v>0</v>
      </c>
      <c r="M267" s="550">
        <v>0</v>
      </c>
      <c r="N267" s="549">
        <v>0</v>
      </c>
      <c r="O267" s="518">
        <f t="shared" si="14"/>
        <v>0</v>
      </c>
      <c r="P267" s="549">
        <v>62937</v>
      </c>
      <c r="Q267" s="550">
        <v>555</v>
      </c>
      <c r="R267" s="549">
        <v>60421</v>
      </c>
      <c r="S267" s="550">
        <v>60976</v>
      </c>
      <c r="T267" s="556">
        <v>96.88</v>
      </c>
      <c r="U267" s="550">
        <v>793</v>
      </c>
      <c r="V267" s="549">
        <v>439</v>
      </c>
      <c r="W267" s="550">
        <v>61653</v>
      </c>
      <c r="X267" s="549">
        <v>8761</v>
      </c>
      <c r="Y267" s="550">
        <v>0</v>
      </c>
      <c r="Z267" s="549">
        <v>50668</v>
      </c>
      <c r="AA267" s="550">
        <v>230</v>
      </c>
      <c r="AB267" s="549">
        <v>48939</v>
      </c>
      <c r="AC267" s="550">
        <v>49169</v>
      </c>
      <c r="AD267" s="556">
        <v>97.04</v>
      </c>
      <c r="AE267" s="550">
        <v>-368</v>
      </c>
      <c r="AF267" s="549">
        <v>197</v>
      </c>
      <c r="AG267" s="550">
        <v>48768</v>
      </c>
      <c r="AH267" s="549">
        <v>5473</v>
      </c>
      <c r="AI267" s="550">
        <v>51690368.140000001</v>
      </c>
      <c r="AJ267" s="549">
        <v>56839</v>
      </c>
      <c r="AK267" s="550">
        <v>0</v>
      </c>
      <c r="AL267" s="549">
        <v>1394.5</v>
      </c>
      <c r="AM267" s="473">
        <f t="shared" si="15"/>
        <v>79261.985499999995</v>
      </c>
      <c r="AN267" s="141"/>
      <c r="AO267" s="566"/>
      <c r="AP267" s="567"/>
    </row>
    <row r="268" spans="1:42">
      <c r="A268" s="471">
        <v>257</v>
      </c>
      <c r="B268" s="481" t="s">
        <v>549</v>
      </c>
      <c r="C268" s="472" t="s">
        <v>550</v>
      </c>
      <c r="D268" s="550">
        <v>17963</v>
      </c>
      <c r="E268" s="549">
        <v>17507</v>
      </c>
      <c r="F268" s="550">
        <v>17658</v>
      </c>
      <c r="G268" s="549">
        <f t="shared" si="12"/>
        <v>53128</v>
      </c>
      <c r="H268" s="550">
        <v>13334</v>
      </c>
      <c r="I268" s="549">
        <v>14646</v>
      </c>
      <c r="J268" s="550">
        <v>10988</v>
      </c>
      <c r="K268" s="550">
        <f t="shared" si="13"/>
        <v>38968</v>
      </c>
      <c r="L268" s="549">
        <v>0</v>
      </c>
      <c r="M268" s="550">
        <v>0</v>
      </c>
      <c r="N268" s="549">
        <v>0</v>
      </c>
      <c r="O268" s="518">
        <f t="shared" si="14"/>
        <v>0</v>
      </c>
      <c r="P268" s="549">
        <v>60109</v>
      </c>
      <c r="Q268" s="550">
        <v>577</v>
      </c>
      <c r="R268" s="549">
        <v>58451</v>
      </c>
      <c r="S268" s="550">
        <v>59028</v>
      </c>
      <c r="T268" s="556">
        <v>98.2</v>
      </c>
      <c r="U268" s="550">
        <v>554</v>
      </c>
      <c r="V268" s="549">
        <v>532</v>
      </c>
      <c r="W268" s="550">
        <v>59537</v>
      </c>
      <c r="X268" s="549">
        <v>7440</v>
      </c>
      <c r="Y268" s="550">
        <v>0</v>
      </c>
      <c r="Z268" s="549">
        <v>44029</v>
      </c>
      <c r="AA268" s="550">
        <v>303</v>
      </c>
      <c r="AB268" s="549">
        <v>42651</v>
      </c>
      <c r="AC268" s="550">
        <v>42954</v>
      </c>
      <c r="AD268" s="556">
        <v>97.56</v>
      </c>
      <c r="AE268" s="550">
        <v>61</v>
      </c>
      <c r="AF268" s="549">
        <v>72</v>
      </c>
      <c r="AG268" s="550">
        <v>42784</v>
      </c>
      <c r="AH268" s="549">
        <v>4676</v>
      </c>
      <c r="AI268" s="550">
        <v>45597105.269999996</v>
      </c>
      <c r="AJ268" s="549">
        <v>46585.1</v>
      </c>
      <c r="AK268" s="550">
        <v>196.2</v>
      </c>
      <c r="AL268" s="549">
        <v>1438.87</v>
      </c>
      <c r="AM268" s="473">
        <f t="shared" si="15"/>
        <v>67312.209130999981</v>
      </c>
      <c r="AN268" s="141"/>
      <c r="AO268" s="566"/>
      <c r="AP268" s="567"/>
    </row>
    <row r="269" spans="1:42">
      <c r="A269" s="471">
        <v>258</v>
      </c>
      <c r="B269" s="481" t="s">
        <v>551</v>
      </c>
      <c r="C269" s="472" t="s">
        <v>552</v>
      </c>
      <c r="D269" s="550">
        <v>14605</v>
      </c>
      <c r="E269" s="549">
        <v>12864</v>
      </c>
      <c r="F269" s="550">
        <v>13264</v>
      </c>
      <c r="G269" s="549">
        <f t="shared" ref="G269:G332" si="16">SUM(D269:F269)</f>
        <v>40733</v>
      </c>
      <c r="H269" s="550">
        <v>5600</v>
      </c>
      <c r="I269" s="549">
        <v>5668</v>
      </c>
      <c r="J269" s="550">
        <v>4709</v>
      </c>
      <c r="K269" s="550">
        <f t="shared" ref="K269:K332" si="17">SUM(H269:J269)</f>
        <v>15977</v>
      </c>
      <c r="L269" s="549">
        <v>0</v>
      </c>
      <c r="M269" s="550">
        <v>0</v>
      </c>
      <c r="N269" s="549">
        <v>0</v>
      </c>
      <c r="O269" s="518">
        <f t="shared" ref="O269:O332" si="18">SUM(L269:N269)</f>
        <v>0</v>
      </c>
      <c r="P269" s="549">
        <v>45560</v>
      </c>
      <c r="Q269" s="550">
        <v>394</v>
      </c>
      <c r="R269" s="549">
        <v>44618</v>
      </c>
      <c r="S269" s="550">
        <v>45012</v>
      </c>
      <c r="T269" s="556">
        <v>98.8</v>
      </c>
      <c r="U269" s="550">
        <v>645</v>
      </c>
      <c r="V269" s="549">
        <v>376</v>
      </c>
      <c r="W269" s="550">
        <v>45639</v>
      </c>
      <c r="X269" s="549">
        <v>5526</v>
      </c>
      <c r="Y269" s="550">
        <v>0</v>
      </c>
      <c r="Z269" s="549">
        <v>17373</v>
      </c>
      <c r="AA269" s="550">
        <v>195</v>
      </c>
      <c r="AB269" s="549">
        <v>16955</v>
      </c>
      <c r="AC269" s="550">
        <v>17150</v>
      </c>
      <c r="AD269" s="556">
        <v>98.72</v>
      </c>
      <c r="AE269" s="550">
        <v>-61</v>
      </c>
      <c r="AF269" s="549">
        <v>136</v>
      </c>
      <c r="AG269" s="550">
        <v>17030</v>
      </c>
      <c r="AH269" s="549">
        <v>1926</v>
      </c>
      <c r="AI269" s="550">
        <v>18402245.260000002</v>
      </c>
      <c r="AJ269" s="549">
        <v>35296</v>
      </c>
      <c r="AK269" s="550">
        <v>0</v>
      </c>
      <c r="AL269" s="549">
        <v>1455.56</v>
      </c>
      <c r="AM269" s="473">
        <f t="shared" ref="AM269:AM332" si="19">((AJ269+AK269)*AL269)/1000</f>
        <v>51375.445759999995</v>
      </c>
      <c r="AN269" s="141"/>
      <c r="AO269" s="566"/>
      <c r="AP269" s="567"/>
    </row>
    <row r="270" spans="1:42">
      <c r="A270" s="471">
        <v>259</v>
      </c>
      <c r="B270" s="481" t="s">
        <v>553</v>
      </c>
      <c r="C270" s="472" t="s">
        <v>554</v>
      </c>
      <c r="D270" s="550">
        <v>10420</v>
      </c>
      <c r="E270" s="549">
        <v>10446</v>
      </c>
      <c r="F270" s="550">
        <v>10426</v>
      </c>
      <c r="G270" s="549">
        <f t="shared" si="16"/>
        <v>31292</v>
      </c>
      <c r="H270" s="550">
        <v>16833</v>
      </c>
      <c r="I270" s="549">
        <v>14055</v>
      </c>
      <c r="J270" s="550">
        <v>13758</v>
      </c>
      <c r="K270" s="550">
        <f t="shared" si="17"/>
        <v>44646</v>
      </c>
      <c r="L270" s="549">
        <v>0</v>
      </c>
      <c r="M270" s="550">
        <v>0</v>
      </c>
      <c r="N270" s="549">
        <v>0</v>
      </c>
      <c r="O270" s="518">
        <f t="shared" si="18"/>
        <v>0</v>
      </c>
      <c r="P270" s="549">
        <v>35710</v>
      </c>
      <c r="Q270" s="550">
        <v>527</v>
      </c>
      <c r="R270" s="549">
        <v>33582</v>
      </c>
      <c r="S270" s="550">
        <v>34109</v>
      </c>
      <c r="T270" s="556">
        <v>95.52</v>
      </c>
      <c r="U270" s="550">
        <v>1026</v>
      </c>
      <c r="V270" s="549">
        <v>647</v>
      </c>
      <c r="W270" s="550">
        <v>35255</v>
      </c>
      <c r="X270" s="549">
        <v>4834</v>
      </c>
      <c r="Y270" s="550">
        <v>0</v>
      </c>
      <c r="Z270" s="549">
        <v>47723</v>
      </c>
      <c r="AA270" s="550">
        <v>563</v>
      </c>
      <c r="AB270" s="549">
        <v>45257</v>
      </c>
      <c r="AC270" s="550">
        <v>45820</v>
      </c>
      <c r="AD270" s="556">
        <v>96.01</v>
      </c>
      <c r="AE270" s="550">
        <v>332</v>
      </c>
      <c r="AF270" s="549">
        <v>618</v>
      </c>
      <c r="AG270" s="550">
        <v>46207</v>
      </c>
      <c r="AH270" s="549">
        <v>3115</v>
      </c>
      <c r="AI270" s="550">
        <v>48525582.409999996</v>
      </c>
      <c r="AJ270" s="549">
        <v>29784.400000000001</v>
      </c>
      <c r="AK270" s="550">
        <v>0</v>
      </c>
      <c r="AL270" s="549">
        <v>1455.17</v>
      </c>
      <c r="AM270" s="473">
        <f t="shared" si="19"/>
        <v>43341.365348000007</v>
      </c>
      <c r="AN270" s="141"/>
      <c r="AO270" s="566"/>
      <c r="AP270" s="567"/>
    </row>
    <row r="271" spans="1:42">
      <c r="A271" s="471">
        <v>260</v>
      </c>
      <c r="B271" s="481" t="s">
        <v>555</v>
      </c>
      <c r="C271" s="472" t="s">
        <v>556</v>
      </c>
      <c r="D271" s="550">
        <v>40057</v>
      </c>
      <c r="E271" s="549">
        <v>40867</v>
      </c>
      <c r="F271" s="550">
        <v>40911</v>
      </c>
      <c r="G271" s="549">
        <f t="shared" si="16"/>
        <v>121835</v>
      </c>
      <c r="H271" s="550">
        <v>28453</v>
      </c>
      <c r="I271" s="549">
        <v>26326</v>
      </c>
      <c r="J271" s="550">
        <v>24462</v>
      </c>
      <c r="K271" s="550">
        <f t="shared" si="17"/>
        <v>79241</v>
      </c>
      <c r="L271" s="549">
        <v>0</v>
      </c>
      <c r="M271" s="550">
        <v>0</v>
      </c>
      <c r="N271" s="549">
        <v>0</v>
      </c>
      <c r="O271" s="518">
        <f t="shared" si="18"/>
        <v>0</v>
      </c>
      <c r="P271" s="549">
        <v>136157</v>
      </c>
      <c r="Q271" s="550">
        <v>1043</v>
      </c>
      <c r="R271" s="549">
        <v>131311</v>
      </c>
      <c r="S271" s="550">
        <v>132354</v>
      </c>
      <c r="T271" s="556">
        <v>97.21</v>
      </c>
      <c r="U271" s="550">
        <v>2455</v>
      </c>
      <c r="V271" s="549">
        <v>929</v>
      </c>
      <c r="W271" s="550">
        <v>134695</v>
      </c>
      <c r="X271" s="549">
        <v>18276</v>
      </c>
      <c r="Y271" s="550">
        <v>0</v>
      </c>
      <c r="Z271" s="549">
        <v>92385</v>
      </c>
      <c r="AA271" s="550">
        <v>602</v>
      </c>
      <c r="AB271" s="549">
        <v>86898</v>
      </c>
      <c r="AC271" s="550">
        <v>87500</v>
      </c>
      <c r="AD271" s="556">
        <v>94.71</v>
      </c>
      <c r="AE271" s="550">
        <v>-700</v>
      </c>
      <c r="AF271" s="549">
        <v>474</v>
      </c>
      <c r="AG271" s="550">
        <v>86672</v>
      </c>
      <c r="AH271" s="549">
        <v>8889</v>
      </c>
      <c r="AI271" s="550">
        <v>97337851.599999994</v>
      </c>
      <c r="AJ271" s="549">
        <v>101649.48</v>
      </c>
      <c r="AK271" s="550">
        <v>0</v>
      </c>
      <c r="AL271" s="549">
        <v>1604.02</v>
      </c>
      <c r="AM271" s="473">
        <f t="shared" si="19"/>
        <v>163047.79890959998</v>
      </c>
      <c r="AN271" s="141"/>
      <c r="AO271" s="566"/>
      <c r="AP271" s="567"/>
    </row>
    <row r="272" spans="1:42">
      <c r="A272" s="471">
        <v>261</v>
      </c>
      <c r="B272" s="481" t="s">
        <v>557</v>
      </c>
      <c r="C272" s="472" t="s">
        <v>558</v>
      </c>
      <c r="D272" s="550">
        <v>23488</v>
      </c>
      <c r="E272" s="549">
        <v>23055</v>
      </c>
      <c r="F272" s="550">
        <v>21657</v>
      </c>
      <c r="G272" s="549">
        <f t="shared" si="16"/>
        <v>68200</v>
      </c>
      <c r="H272" s="550">
        <v>26710</v>
      </c>
      <c r="I272" s="549">
        <v>23312</v>
      </c>
      <c r="J272" s="550">
        <v>21362</v>
      </c>
      <c r="K272" s="550">
        <f t="shared" si="17"/>
        <v>71384</v>
      </c>
      <c r="L272" s="549">
        <v>0</v>
      </c>
      <c r="M272" s="550">
        <v>0</v>
      </c>
      <c r="N272" s="549">
        <v>0</v>
      </c>
      <c r="O272" s="518">
        <f t="shared" si="18"/>
        <v>0</v>
      </c>
      <c r="P272" s="549">
        <v>75806</v>
      </c>
      <c r="Q272" s="550">
        <v>822</v>
      </c>
      <c r="R272" s="549">
        <v>73652</v>
      </c>
      <c r="S272" s="550">
        <v>74474</v>
      </c>
      <c r="T272" s="556">
        <v>98.24</v>
      </c>
      <c r="U272" s="550">
        <v>1271</v>
      </c>
      <c r="V272" s="549">
        <v>785</v>
      </c>
      <c r="W272" s="550">
        <v>75708</v>
      </c>
      <c r="X272" s="549">
        <v>11421</v>
      </c>
      <c r="Y272" s="550">
        <v>0</v>
      </c>
      <c r="Z272" s="549">
        <v>79286</v>
      </c>
      <c r="AA272" s="550">
        <v>1164</v>
      </c>
      <c r="AB272" s="549">
        <v>77299</v>
      </c>
      <c r="AC272" s="550">
        <v>78463</v>
      </c>
      <c r="AD272" s="556">
        <v>98.96</v>
      </c>
      <c r="AE272" s="550">
        <v>-1456</v>
      </c>
      <c r="AF272" s="549">
        <v>433</v>
      </c>
      <c r="AG272" s="550">
        <v>76276</v>
      </c>
      <c r="AH272" s="549">
        <v>8768</v>
      </c>
      <c r="AI272" s="550">
        <v>82759218.449999988</v>
      </c>
      <c r="AJ272" s="549">
        <v>61144.2</v>
      </c>
      <c r="AK272" s="550">
        <v>0</v>
      </c>
      <c r="AL272" s="549">
        <v>1565.44</v>
      </c>
      <c r="AM272" s="473">
        <f t="shared" si="19"/>
        <v>95717.576447999993</v>
      </c>
      <c r="AN272" s="141"/>
      <c r="AO272" s="566"/>
      <c r="AP272" s="567"/>
    </row>
    <row r="273" spans="1:42">
      <c r="A273" s="471">
        <v>262</v>
      </c>
      <c r="B273" s="481" t="s">
        <v>559</v>
      </c>
      <c r="C273" s="472" t="s">
        <v>560</v>
      </c>
      <c r="D273" s="550">
        <v>24222</v>
      </c>
      <c r="E273" s="549">
        <v>22293</v>
      </c>
      <c r="F273" s="550">
        <v>23112</v>
      </c>
      <c r="G273" s="549">
        <f t="shared" si="16"/>
        <v>69627</v>
      </c>
      <c r="H273" s="550">
        <v>30758</v>
      </c>
      <c r="I273" s="549">
        <v>21996</v>
      </c>
      <c r="J273" s="550">
        <v>23533</v>
      </c>
      <c r="K273" s="550">
        <f t="shared" si="17"/>
        <v>76287</v>
      </c>
      <c r="L273" s="549">
        <v>0</v>
      </c>
      <c r="M273" s="550">
        <v>0</v>
      </c>
      <c r="N273" s="549">
        <v>0</v>
      </c>
      <c r="O273" s="518">
        <f t="shared" si="18"/>
        <v>0</v>
      </c>
      <c r="P273" s="549">
        <v>79448</v>
      </c>
      <c r="Q273" s="550">
        <v>598</v>
      </c>
      <c r="R273" s="549">
        <v>76101</v>
      </c>
      <c r="S273" s="550">
        <v>76699</v>
      </c>
      <c r="T273" s="556">
        <v>96.54</v>
      </c>
      <c r="U273" s="550">
        <v>3903</v>
      </c>
      <c r="V273" s="549">
        <v>918</v>
      </c>
      <c r="W273" s="550">
        <v>80922</v>
      </c>
      <c r="X273" s="549">
        <v>15077</v>
      </c>
      <c r="Y273" s="550">
        <v>0</v>
      </c>
      <c r="Z273" s="549">
        <v>81703</v>
      </c>
      <c r="AA273" s="550">
        <v>3387</v>
      </c>
      <c r="AB273" s="549">
        <v>73622</v>
      </c>
      <c r="AC273" s="550">
        <v>77009</v>
      </c>
      <c r="AD273" s="556">
        <v>94.25</v>
      </c>
      <c r="AE273" s="550">
        <v>1233</v>
      </c>
      <c r="AF273" s="549">
        <v>660</v>
      </c>
      <c r="AG273" s="550">
        <v>75515</v>
      </c>
      <c r="AH273" s="549">
        <v>5329</v>
      </c>
      <c r="AI273" s="550">
        <v>85113583.539999992</v>
      </c>
      <c r="AJ273" s="549">
        <v>74124.800000000003</v>
      </c>
      <c r="AK273" s="550">
        <v>0</v>
      </c>
      <c r="AL273" s="549">
        <v>1428.71</v>
      </c>
      <c r="AM273" s="473">
        <f t="shared" si="19"/>
        <v>105902.843008</v>
      </c>
      <c r="AN273" s="141"/>
      <c r="AO273" s="566"/>
      <c r="AP273" s="567"/>
    </row>
    <row r="274" spans="1:42">
      <c r="A274" s="471">
        <v>263</v>
      </c>
      <c r="B274" s="481" t="s">
        <v>561</v>
      </c>
      <c r="C274" s="472" t="s">
        <v>562</v>
      </c>
      <c r="D274" s="550">
        <v>21335</v>
      </c>
      <c r="E274" s="549">
        <v>21124</v>
      </c>
      <c r="F274" s="550">
        <v>19399</v>
      </c>
      <c r="G274" s="549">
        <f t="shared" si="16"/>
        <v>61858</v>
      </c>
      <c r="H274" s="550">
        <v>16591</v>
      </c>
      <c r="I274" s="549">
        <v>14516</v>
      </c>
      <c r="J274" s="550">
        <v>13573</v>
      </c>
      <c r="K274" s="550">
        <f t="shared" si="17"/>
        <v>44680</v>
      </c>
      <c r="L274" s="549">
        <v>0</v>
      </c>
      <c r="M274" s="550">
        <v>0</v>
      </c>
      <c r="N274" s="549">
        <v>0</v>
      </c>
      <c r="O274" s="518">
        <f t="shared" si="18"/>
        <v>0</v>
      </c>
      <c r="P274" s="549">
        <v>71965</v>
      </c>
      <c r="Q274" s="550">
        <v>391</v>
      </c>
      <c r="R274" s="549">
        <v>70472</v>
      </c>
      <c r="S274" s="550">
        <v>70863</v>
      </c>
      <c r="T274" s="556">
        <v>98.47</v>
      </c>
      <c r="U274" s="550">
        <v>805</v>
      </c>
      <c r="V274" s="549">
        <v>410</v>
      </c>
      <c r="W274" s="550">
        <v>71687</v>
      </c>
      <c r="X274" s="549">
        <v>10931</v>
      </c>
      <c r="Y274" s="550">
        <v>0</v>
      </c>
      <c r="Z274" s="549">
        <v>51399</v>
      </c>
      <c r="AA274" s="550">
        <v>188</v>
      </c>
      <c r="AB274" s="549">
        <v>50392</v>
      </c>
      <c r="AC274" s="550">
        <v>50580</v>
      </c>
      <c r="AD274" s="556">
        <v>98.41</v>
      </c>
      <c r="AE274" s="550">
        <v>-675</v>
      </c>
      <c r="AF274" s="549">
        <v>113</v>
      </c>
      <c r="AG274" s="550">
        <v>49830</v>
      </c>
      <c r="AH274" s="549">
        <v>6007</v>
      </c>
      <c r="AI274" s="550">
        <v>53876445.560000002</v>
      </c>
      <c r="AJ274" s="549">
        <v>52727.53</v>
      </c>
      <c r="AK274" s="550">
        <v>77.3</v>
      </c>
      <c r="AL274" s="549">
        <v>1516.29</v>
      </c>
      <c r="AM274" s="473">
        <f t="shared" si="19"/>
        <v>80067.4356807</v>
      </c>
      <c r="AN274" s="141"/>
      <c r="AO274" s="566"/>
      <c r="AP274" s="567"/>
    </row>
    <row r="275" spans="1:42">
      <c r="A275" s="471">
        <v>264</v>
      </c>
      <c r="B275" s="481" t="s">
        <v>563</v>
      </c>
      <c r="C275" s="472" t="s">
        <v>564</v>
      </c>
      <c r="D275" s="550">
        <v>20303</v>
      </c>
      <c r="E275" s="549">
        <v>18047</v>
      </c>
      <c r="F275" s="550">
        <v>18149</v>
      </c>
      <c r="G275" s="549">
        <f t="shared" si="16"/>
        <v>56499</v>
      </c>
      <c r="H275" s="550">
        <v>8000</v>
      </c>
      <c r="I275" s="549">
        <v>6920</v>
      </c>
      <c r="J275" s="550">
        <v>6932</v>
      </c>
      <c r="K275" s="550">
        <f t="shared" si="17"/>
        <v>21852</v>
      </c>
      <c r="L275" s="549">
        <v>0</v>
      </c>
      <c r="M275" s="550">
        <v>0</v>
      </c>
      <c r="N275" s="549">
        <v>0</v>
      </c>
      <c r="O275" s="518">
        <f t="shared" si="18"/>
        <v>0</v>
      </c>
      <c r="P275" s="549">
        <v>61198</v>
      </c>
      <c r="Q275" s="550">
        <v>570</v>
      </c>
      <c r="R275" s="549">
        <v>60090</v>
      </c>
      <c r="S275" s="550">
        <v>60660</v>
      </c>
      <c r="T275" s="556">
        <v>99.12</v>
      </c>
      <c r="U275" s="550">
        <v>973</v>
      </c>
      <c r="V275" s="549">
        <v>446</v>
      </c>
      <c r="W275" s="550">
        <v>61509</v>
      </c>
      <c r="X275" s="549">
        <v>6566</v>
      </c>
      <c r="Y275" s="550">
        <v>0</v>
      </c>
      <c r="Z275" s="549">
        <v>24414</v>
      </c>
      <c r="AA275" s="550">
        <v>96</v>
      </c>
      <c r="AB275" s="549">
        <v>23831</v>
      </c>
      <c r="AC275" s="550">
        <v>23927</v>
      </c>
      <c r="AD275" s="556">
        <v>98.01</v>
      </c>
      <c r="AE275" s="550">
        <v>359</v>
      </c>
      <c r="AF275" s="549">
        <v>24</v>
      </c>
      <c r="AG275" s="550">
        <v>24214</v>
      </c>
      <c r="AH275" s="549">
        <v>2645</v>
      </c>
      <c r="AI275" s="550">
        <v>25978736.079999998</v>
      </c>
      <c r="AJ275" s="549">
        <v>44448</v>
      </c>
      <c r="AK275" s="550">
        <v>0</v>
      </c>
      <c r="AL275" s="549">
        <v>1545.52</v>
      </c>
      <c r="AM275" s="473">
        <f t="shared" si="19"/>
        <v>68695.272959999988</v>
      </c>
      <c r="AN275" s="141"/>
      <c r="AO275" s="566"/>
      <c r="AP275" s="567"/>
    </row>
    <row r="276" spans="1:42">
      <c r="A276" s="471">
        <v>265</v>
      </c>
      <c r="B276" s="481" t="s">
        <v>565</v>
      </c>
      <c r="C276" s="472" t="s">
        <v>566</v>
      </c>
      <c r="D276" s="550">
        <v>20788</v>
      </c>
      <c r="E276" s="549">
        <v>20239</v>
      </c>
      <c r="F276" s="550">
        <v>19676</v>
      </c>
      <c r="G276" s="549">
        <f t="shared" si="16"/>
        <v>60703</v>
      </c>
      <c r="H276" s="550">
        <v>15036</v>
      </c>
      <c r="I276" s="549">
        <v>15309</v>
      </c>
      <c r="J276" s="550">
        <v>13404</v>
      </c>
      <c r="K276" s="550">
        <f t="shared" si="17"/>
        <v>43749</v>
      </c>
      <c r="L276" s="549">
        <v>0</v>
      </c>
      <c r="M276" s="550">
        <v>0</v>
      </c>
      <c r="N276" s="549">
        <v>0</v>
      </c>
      <c r="O276" s="518">
        <f t="shared" si="18"/>
        <v>0</v>
      </c>
      <c r="P276" s="549">
        <v>68086</v>
      </c>
      <c r="Q276" s="550">
        <v>1243</v>
      </c>
      <c r="R276" s="549">
        <v>65706</v>
      </c>
      <c r="S276" s="550">
        <v>66949</v>
      </c>
      <c r="T276" s="556">
        <v>98.33</v>
      </c>
      <c r="U276" s="550">
        <v>534</v>
      </c>
      <c r="V276" s="549">
        <v>1196</v>
      </c>
      <c r="W276" s="550">
        <v>67436</v>
      </c>
      <c r="X276" s="549">
        <v>8658</v>
      </c>
      <c r="Y276" s="550">
        <v>0</v>
      </c>
      <c r="Z276" s="549">
        <v>45660</v>
      </c>
      <c r="AA276" s="550">
        <v>337</v>
      </c>
      <c r="AB276" s="549">
        <v>44848</v>
      </c>
      <c r="AC276" s="550">
        <v>45185</v>
      </c>
      <c r="AD276" s="556">
        <v>98.96</v>
      </c>
      <c r="AE276" s="550">
        <v>550</v>
      </c>
      <c r="AF276" s="549">
        <v>417</v>
      </c>
      <c r="AG276" s="550">
        <v>45815</v>
      </c>
      <c r="AH276" s="549">
        <v>6184</v>
      </c>
      <c r="AI276" s="550">
        <v>47462582.799999997</v>
      </c>
      <c r="AJ276" s="549">
        <v>50420.54</v>
      </c>
      <c r="AK276" s="550">
        <v>183.2</v>
      </c>
      <c r="AL276" s="549">
        <v>1498.06</v>
      </c>
      <c r="AM276" s="473">
        <f t="shared" si="19"/>
        <v>75807.438744399988</v>
      </c>
      <c r="AN276" s="141"/>
      <c r="AO276" s="566"/>
      <c r="AP276" s="567"/>
    </row>
    <row r="277" spans="1:42">
      <c r="A277" s="471">
        <v>266</v>
      </c>
      <c r="B277" s="481" t="s">
        <v>567</v>
      </c>
      <c r="C277" s="472" t="s">
        <v>568</v>
      </c>
      <c r="D277" s="550">
        <v>23883</v>
      </c>
      <c r="E277" s="549">
        <v>23351</v>
      </c>
      <c r="F277" s="550">
        <v>23582</v>
      </c>
      <c r="G277" s="549">
        <f t="shared" si="16"/>
        <v>70816</v>
      </c>
      <c r="H277" s="550">
        <v>32213</v>
      </c>
      <c r="I277" s="549">
        <v>22634</v>
      </c>
      <c r="J277" s="550">
        <v>23301</v>
      </c>
      <c r="K277" s="550">
        <f t="shared" si="17"/>
        <v>78148</v>
      </c>
      <c r="L277" s="549">
        <v>0</v>
      </c>
      <c r="M277" s="550">
        <v>0</v>
      </c>
      <c r="N277" s="549">
        <v>0</v>
      </c>
      <c r="O277" s="518">
        <f t="shared" si="18"/>
        <v>0</v>
      </c>
      <c r="P277" s="549">
        <v>83302</v>
      </c>
      <c r="Q277" s="550">
        <v>1741</v>
      </c>
      <c r="R277" s="549">
        <v>79196</v>
      </c>
      <c r="S277" s="550">
        <v>80937</v>
      </c>
      <c r="T277" s="556">
        <v>97.16</v>
      </c>
      <c r="U277" s="550">
        <v>2839</v>
      </c>
      <c r="V277" s="549">
        <v>1738</v>
      </c>
      <c r="W277" s="550">
        <v>83773</v>
      </c>
      <c r="X277" s="549">
        <v>14107</v>
      </c>
      <c r="Y277" s="550">
        <v>0</v>
      </c>
      <c r="Z277" s="549">
        <v>84461</v>
      </c>
      <c r="AA277" s="550">
        <v>2967</v>
      </c>
      <c r="AB277" s="549">
        <v>79394</v>
      </c>
      <c r="AC277" s="550">
        <v>82361</v>
      </c>
      <c r="AD277" s="556">
        <v>97.51</v>
      </c>
      <c r="AE277" s="550">
        <v>2173</v>
      </c>
      <c r="AF277" s="549">
        <v>572</v>
      </c>
      <c r="AG277" s="550">
        <v>82139</v>
      </c>
      <c r="AH277" s="549">
        <v>11384</v>
      </c>
      <c r="AI277" s="550">
        <v>89119933.459999993</v>
      </c>
      <c r="AJ277" s="549">
        <v>84240.7</v>
      </c>
      <c r="AK277" s="550">
        <v>0</v>
      </c>
      <c r="AL277" s="549">
        <v>1346.37</v>
      </c>
      <c r="AM277" s="473">
        <f t="shared" si="19"/>
        <v>113419.15125899999</v>
      </c>
      <c r="AN277" s="141"/>
      <c r="AO277" s="566"/>
      <c r="AP277" s="567"/>
    </row>
    <row r="278" spans="1:42">
      <c r="A278" s="471">
        <v>267</v>
      </c>
      <c r="B278" s="481" t="s">
        <v>569</v>
      </c>
      <c r="C278" s="472" t="s">
        <v>570</v>
      </c>
      <c r="D278" s="550">
        <v>17735</v>
      </c>
      <c r="E278" s="549">
        <v>16793</v>
      </c>
      <c r="F278" s="550">
        <v>16876</v>
      </c>
      <c r="G278" s="549">
        <f t="shared" si="16"/>
        <v>51404</v>
      </c>
      <c r="H278" s="550">
        <v>9826</v>
      </c>
      <c r="I278" s="549">
        <v>9467</v>
      </c>
      <c r="J278" s="550">
        <v>9657</v>
      </c>
      <c r="K278" s="550">
        <f t="shared" si="17"/>
        <v>28950</v>
      </c>
      <c r="L278" s="549">
        <v>0</v>
      </c>
      <c r="M278" s="550">
        <v>0</v>
      </c>
      <c r="N278" s="549">
        <v>0</v>
      </c>
      <c r="O278" s="518">
        <f t="shared" si="18"/>
        <v>0</v>
      </c>
      <c r="P278" s="549">
        <v>55559</v>
      </c>
      <c r="Q278" s="550">
        <v>532</v>
      </c>
      <c r="R278" s="549">
        <v>54695</v>
      </c>
      <c r="S278" s="550">
        <v>55227</v>
      </c>
      <c r="T278" s="556">
        <v>99.4</v>
      </c>
      <c r="U278" s="550">
        <v>524</v>
      </c>
      <c r="V278" s="549">
        <v>415</v>
      </c>
      <c r="W278" s="550">
        <v>55634</v>
      </c>
      <c r="X278" s="549">
        <v>6377</v>
      </c>
      <c r="Y278" s="550">
        <v>0</v>
      </c>
      <c r="Z278" s="549">
        <v>36231</v>
      </c>
      <c r="AA278" s="550">
        <v>268</v>
      </c>
      <c r="AB278" s="549">
        <v>35402</v>
      </c>
      <c r="AC278" s="550">
        <v>35670</v>
      </c>
      <c r="AD278" s="556">
        <v>98.45</v>
      </c>
      <c r="AE278" s="550">
        <v>-29</v>
      </c>
      <c r="AF278" s="549">
        <v>500</v>
      </c>
      <c r="AG278" s="550">
        <v>35873</v>
      </c>
      <c r="AH278" s="549">
        <v>4417</v>
      </c>
      <c r="AI278" s="550">
        <v>36766461.609999999</v>
      </c>
      <c r="AJ278" s="549">
        <v>38224.400000000001</v>
      </c>
      <c r="AK278" s="550">
        <v>484.5</v>
      </c>
      <c r="AL278" s="549">
        <v>1587.2</v>
      </c>
      <c r="AM278" s="473">
        <f t="shared" si="19"/>
        <v>61438.766080000009</v>
      </c>
      <c r="AN278" s="141"/>
      <c r="AO278" s="566"/>
      <c r="AP278" s="567"/>
    </row>
    <row r="279" spans="1:42">
      <c r="A279" s="471">
        <v>268</v>
      </c>
      <c r="B279" s="481" t="s">
        <v>571</v>
      </c>
      <c r="C279" s="472" t="s">
        <v>572</v>
      </c>
      <c r="D279" s="550">
        <v>29482</v>
      </c>
      <c r="E279" s="549">
        <v>28028</v>
      </c>
      <c r="F279" s="550">
        <v>27847</v>
      </c>
      <c r="G279" s="549">
        <f t="shared" si="16"/>
        <v>85357</v>
      </c>
      <c r="H279" s="550">
        <v>17843</v>
      </c>
      <c r="I279" s="549">
        <v>14948</v>
      </c>
      <c r="J279" s="550">
        <v>13634</v>
      </c>
      <c r="K279" s="550">
        <f t="shared" si="17"/>
        <v>46425</v>
      </c>
      <c r="L279" s="549">
        <v>0</v>
      </c>
      <c r="M279" s="550">
        <v>0</v>
      </c>
      <c r="N279" s="549">
        <v>0</v>
      </c>
      <c r="O279" s="518">
        <f t="shared" si="18"/>
        <v>0</v>
      </c>
      <c r="P279" s="549">
        <v>95684</v>
      </c>
      <c r="Q279" s="550">
        <v>775</v>
      </c>
      <c r="R279" s="549">
        <v>93810</v>
      </c>
      <c r="S279" s="550">
        <v>94585</v>
      </c>
      <c r="T279" s="556">
        <v>98.85</v>
      </c>
      <c r="U279" s="550">
        <v>1037</v>
      </c>
      <c r="V279" s="549">
        <v>643</v>
      </c>
      <c r="W279" s="550">
        <v>95490</v>
      </c>
      <c r="X279" s="549">
        <v>11716</v>
      </c>
      <c r="Y279" s="550">
        <v>0</v>
      </c>
      <c r="Z279" s="549">
        <v>52151</v>
      </c>
      <c r="AA279" s="550">
        <v>791</v>
      </c>
      <c r="AB279" s="549">
        <v>50325</v>
      </c>
      <c r="AC279" s="550">
        <v>51116</v>
      </c>
      <c r="AD279" s="556">
        <v>98.02</v>
      </c>
      <c r="AE279" s="550">
        <v>1156</v>
      </c>
      <c r="AF279" s="549">
        <v>84</v>
      </c>
      <c r="AG279" s="550">
        <v>51565</v>
      </c>
      <c r="AH279" s="549">
        <v>5021</v>
      </c>
      <c r="AI279" s="550">
        <v>54672273.880000003</v>
      </c>
      <c r="AJ279" s="549">
        <v>74277.16</v>
      </c>
      <c r="AK279" s="550">
        <v>0</v>
      </c>
      <c r="AL279" s="549">
        <v>1443.89</v>
      </c>
      <c r="AM279" s="473">
        <f t="shared" si="19"/>
        <v>107248.04855240001</v>
      </c>
      <c r="AN279" s="141"/>
      <c r="AO279" s="566"/>
      <c r="AP279" s="567"/>
    </row>
    <row r="280" spans="1:42">
      <c r="A280" s="471">
        <v>269</v>
      </c>
      <c r="B280" s="481" t="s">
        <v>573</v>
      </c>
      <c r="C280" s="472" t="s">
        <v>574</v>
      </c>
      <c r="D280" s="550">
        <v>17070</v>
      </c>
      <c r="E280" s="549">
        <v>17338</v>
      </c>
      <c r="F280" s="550">
        <v>14836</v>
      </c>
      <c r="G280" s="549">
        <f t="shared" si="16"/>
        <v>49244</v>
      </c>
      <c r="H280" s="550">
        <v>12862</v>
      </c>
      <c r="I280" s="549">
        <v>11949</v>
      </c>
      <c r="J280" s="550">
        <v>12312</v>
      </c>
      <c r="K280" s="550">
        <f t="shared" si="17"/>
        <v>37123</v>
      </c>
      <c r="L280" s="549">
        <v>0</v>
      </c>
      <c r="M280" s="550">
        <v>0</v>
      </c>
      <c r="N280" s="549">
        <v>0</v>
      </c>
      <c r="O280" s="518">
        <f t="shared" si="18"/>
        <v>0</v>
      </c>
      <c r="P280" s="549">
        <v>58298</v>
      </c>
      <c r="Q280" s="550">
        <v>897</v>
      </c>
      <c r="R280" s="549">
        <v>56080</v>
      </c>
      <c r="S280" s="550">
        <v>56977</v>
      </c>
      <c r="T280" s="556">
        <v>97.73</v>
      </c>
      <c r="U280" s="550">
        <v>1428</v>
      </c>
      <c r="V280" s="549">
        <v>912</v>
      </c>
      <c r="W280" s="550">
        <v>58420</v>
      </c>
      <c r="X280" s="549">
        <v>7448</v>
      </c>
      <c r="Y280" s="550">
        <v>0</v>
      </c>
      <c r="Z280" s="549">
        <v>39990</v>
      </c>
      <c r="AA280" s="550">
        <v>752</v>
      </c>
      <c r="AB280" s="549">
        <v>37863</v>
      </c>
      <c r="AC280" s="550">
        <v>38615</v>
      </c>
      <c r="AD280" s="556">
        <v>96.56</v>
      </c>
      <c r="AE280" s="550">
        <v>-1296</v>
      </c>
      <c r="AF280" s="549">
        <v>147</v>
      </c>
      <c r="AG280" s="550">
        <v>36714</v>
      </c>
      <c r="AH280" s="549">
        <v>4811</v>
      </c>
      <c r="AI280" s="550">
        <v>41206400</v>
      </c>
      <c r="AJ280" s="549">
        <v>49313.81</v>
      </c>
      <c r="AK280" s="550">
        <v>0</v>
      </c>
      <c r="AL280" s="549">
        <v>1434.69</v>
      </c>
      <c r="AM280" s="473">
        <f t="shared" si="19"/>
        <v>70750.0300689</v>
      </c>
      <c r="AN280" s="141"/>
      <c r="AO280" s="566"/>
      <c r="AP280" s="567"/>
    </row>
    <row r="281" spans="1:42">
      <c r="A281" s="471">
        <v>270</v>
      </c>
      <c r="B281" s="481" t="s">
        <v>575</v>
      </c>
      <c r="C281" s="472" t="s">
        <v>576</v>
      </c>
      <c r="D281" s="550">
        <v>27042</v>
      </c>
      <c r="E281" s="549">
        <v>24608</v>
      </c>
      <c r="F281" s="550">
        <v>26855</v>
      </c>
      <c r="G281" s="549">
        <f t="shared" si="16"/>
        <v>78505</v>
      </c>
      <c r="H281" s="550">
        <v>32202</v>
      </c>
      <c r="I281" s="549">
        <v>32105</v>
      </c>
      <c r="J281" s="550">
        <v>28652</v>
      </c>
      <c r="K281" s="550">
        <f t="shared" si="17"/>
        <v>92959</v>
      </c>
      <c r="L281" s="549">
        <v>0</v>
      </c>
      <c r="M281" s="550">
        <v>0</v>
      </c>
      <c r="N281" s="549">
        <v>0</v>
      </c>
      <c r="O281" s="518">
        <f t="shared" si="18"/>
        <v>0</v>
      </c>
      <c r="P281" s="549">
        <v>90054</v>
      </c>
      <c r="Q281" s="550">
        <v>884</v>
      </c>
      <c r="R281" s="549">
        <v>87312</v>
      </c>
      <c r="S281" s="550">
        <v>88196</v>
      </c>
      <c r="T281" s="556">
        <v>97.94</v>
      </c>
      <c r="U281" s="550">
        <v>1307</v>
      </c>
      <c r="V281" s="549">
        <v>805</v>
      </c>
      <c r="W281" s="550">
        <v>89424</v>
      </c>
      <c r="X281" s="549">
        <v>11488</v>
      </c>
      <c r="Y281" s="550">
        <v>0</v>
      </c>
      <c r="Z281" s="549">
        <v>106860</v>
      </c>
      <c r="AA281" s="550">
        <v>839</v>
      </c>
      <c r="AB281" s="549">
        <v>104369</v>
      </c>
      <c r="AC281" s="550">
        <v>105208</v>
      </c>
      <c r="AD281" s="556">
        <v>98.45</v>
      </c>
      <c r="AE281" s="550">
        <v>-2197</v>
      </c>
      <c r="AF281" s="549">
        <v>666</v>
      </c>
      <c r="AG281" s="550">
        <v>102838</v>
      </c>
      <c r="AH281" s="549">
        <v>10313</v>
      </c>
      <c r="AI281" s="550">
        <v>109649520.75</v>
      </c>
      <c r="AJ281" s="549">
        <v>75007.5</v>
      </c>
      <c r="AK281" s="550">
        <v>55.5</v>
      </c>
      <c r="AL281" s="549">
        <v>1394.6</v>
      </c>
      <c r="AM281" s="473">
        <f t="shared" si="19"/>
        <v>104682.85979999999</v>
      </c>
      <c r="AN281" s="141"/>
      <c r="AO281" s="566"/>
      <c r="AP281" s="567"/>
    </row>
    <row r="282" spans="1:42">
      <c r="A282" s="471">
        <v>271</v>
      </c>
      <c r="B282" s="481" t="s">
        <v>577</v>
      </c>
      <c r="C282" s="472" t="s">
        <v>578</v>
      </c>
      <c r="D282" s="550">
        <v>23320</v>
      </c>
      <c r="E282" s="549">
        <v>22578</v>
      </c>
      <c r="F282" s="550">
        <v>22043</v>
      </c>
      <c r="G282" s="549">
        <f t="shared" si="16"/>
        <v>67941</v>
      </c>
      <c r="H282" s="550">
        <v>18418</v>
      </c>
      <c r="I282" s="549">
        <v>16461</v>
      </c>
      <c r="J282" s="550">
        <v>15546</v>
      </c>
      <c r="K282" s="550">
        <f t="shared" si="17"/>
        <v>50425</v>
      </c>
      <c r="L282" s="549">
        <v>0</v>
      </c>
      <c r="M282" s="550">
        <v>0</v>
      </c>
      <c r="N282" s="549">
        <v>0</v>
      </c>
      <c r="O282" s="518">
        <f t="shared" si="18"/>
        <v>0</v>
      </c>
      <c r="P282" s="549">
        <v>73784</v>
      </c>
      <c r="Q282" s="550">
        <v>1308</v>
      </c>
      <c r="R282" s="549">
        <v>68870</v>
      </c>
      <c r="S282" s="550">
        <v>70178</v>
      </c>
      <c r="T282" s="556">
        <v>95.11</v>
      </c>
      <c r="U282" s="550">
        <v>2630</v>
      </c>
      <c r="V282" s="549">
        <v>1507</v>
      </c>
      <c r="W282" s="550">
        <v>73007</v>
      </c>
      <c r="X282" s="549">
        <v>10749</v>
      </c>
      <c r="Y282" s="550">
        <v>0</v>
      </c>
      <c r="Z282" s="549">
        <v>56906</v>
      </c>
      <c r="AA282" s="550">
        <v>495</v>
      </c>
      <c r="AB282" s="549">
        <v>53895</v>
      </c>
      <c r="AC282" s="550">
        <v>54390</v>
      </c>
      <c r="AD282" s="556">
        <v>95.58</v>
      </c>
      <c r="AE282" s="550">
        <v>-1842</v>
      </c>
      <c r="AF282" s="549">
        <v>532</v>
      </c>
      <c r="AG282" s="550">
        <v>52585</v>
      </c>
      <c r="AH282" s="549">
        <v>7314</v>
      </c>
      <c r="AI282" s="550">
        <v>58680726.909999996</v>
      </c>
      <c r="AJ282" s="549">
        <v>70103.3</v>
      </c>
      <c r="AK282" s="550">
        <v>0</v>
      </c>
      <c r="AL282" s="549">
        <v>1417</v>
      </c>
      <c r="AM282" s="473">
        <f t="shared" si="19"/>
        <v>99336.376100000009</v>
      </c>
      <c r="AN282" s="141"/>
      <c r="AO282" s="566"/>
      <c r="AP282" s="567"/>
    </row>
    <row r="283" spans="1:42">
      <c r="A283" s="471">
        <v>272</v>
      </c>
      <c r="B283" s="481" t="s">
        <v>579</v>
      </c>
      <c r="C283" s="472" t="s">
        <v>580</v>
      </c>
      <c r="D283" s="550">
        <v>8616</v>
      </c>
      <c r="E283" s="549">
        <v>8522</v>
      </c>
      <c r="F283" s="550">
        <v>8603</v>
      </c>
      <c r="G283" s="549">
        <f t="shared" si="16"/>
        <v>25741</v>
      </c>
      <c r="H283" s="550">
        <v>10142</v>
      </c>
      <c r="I283" s="549">
        <v>10140</v>
      </c>
      <c r="J283" s="550">
        <v>9166</v>
      </c>
      <c r="K283" s="550">
        <f t="shared" si="17"/>
        <v>29448</v>
      </c>
      <c r="L283" s="549">
        <v>0</v>
      </c>
      <c r="M283" s="550">
        <v>0</v>
      </c>
      <c r="N283" s="549">
        <v>0</v>
      </c>
      <c r="O283" s="518">
        <f t="shared" si="18"/>
        <v>0</v>
      </c>
      <c r="P283" s="549">
        <v>28374</v>
      </c>
      <c r="Q283" s="550">
        <v>358</v>
      </c>
      <c r="R283" s="549">
        <v>27454</v>
      </c>
      <c r="S283" s="550">
        <v>27812</v>
      </c>
      <c r="T283" s="556">
        <v>98.02</v>
      </c>
      <c r="U283" s="550">
        <v>335</v>
      </c>
      <c r="V283" s="549">
        <v>414</v>
      </c>
      <c r="W283" s="550">
        <v>28203</v>
      </c>
      <c r="X283" s="549">
        <v>3369</v>
      </c>
      <c r="Y283" s="550">
        <v>0</v>
      </c>
      <c r="Z283" s="549">
        <v>31265</v>
      </c>
      <c r="AA283" s="550">
        <v>435</v>
      </c>
      <c r="AB283" s="549">
        <v>30195</v>
      </c>
      <c r="AC283" s="550">
        <v>30630</v>
      </c>
      <c r="AD283" s="556">
        <v>97.97</v>
      </c>
      <c r="AE283" s="550">
        <v>-642</v>
      </c>
      <c r="AF283" s="549">
        <v>301</v>
      </c>
      <c r="AG283" s="550">
        <v>29854</v>
      </c>
      <c r="AH283" s="549">
        <v>3084</v>
      </c>
      <c r="AI283" s="550">
        <v>32394716.780000001</v>
      </c>
      <c r="AJ283" s="549">
        <v>23883.599999999999</v>
      </c>
      <c r="AK283" s="550">
        <v>0</v>
      </c>
      <c r="AL283" s="549">
        <v>1425</v>
      </c>
      <c r="AM283" s="473">
        <f t="shared" si="19"/>
        <v>34034.129999999997</v>
      </c>
      <c r="AN283" s="141"/>
      <c r="AO283" s="566"/>
      <c r="AP283" s="567"/>
    </row>
    <row r="284" spans="1:42">
      <c r="A284" s="471">
        <v>273</v>
      </c>
      <c r="B284" s="481" t="s">
        <v>581</v>
      </c>
      <c r="C284" s="472" t="s">
        <v>582</v>
      </c>
      <c r="D284" s="550">
        <v>16817</v>
      </c>
      <c r="E284" s="549">
        <v>16336</v>
      </c>
      <c r="F284" s="550">
        <v>16492</v>
      </c>
      <c r="G284" s="549">
        <f t="shared" si="16"/>
        <v>49645</v>
      </c>
      <c r="H284" s="550">
        <v>6323</v>
      </c>
      <c r="I284" s="549">
        <v>5565</v>
      </c>
      <c r="J284" s="550">
        <v>5586</v>
      </c>
      <c r="K284" s="550">
        <f t="shared" si="17"/>
        <v>17474</v>
      </c>
      <c r="L284" s="549">
        <v>0</v>
      </c>
      <c r="M284" s="550">
        <v>0</v>
      </c>
      <c r="N284" s="549">
        <v>0</v>
      </c>
      <c r="O284" s="518">
        <f t="shared" si="18"/>
        <v>0</v>
      </c>
      <c r="P284" s="549">
        <v>55653</v>
      </c>
      <c r="Q284" s="550">
        <v>910</v>
      </c>
      <c r="R284" s="549">
        <v>53901</v>
      </c>
      <c r="S284" s="550">
        <v>54811</v>
      </c>
      <c r="T284" s="556">
        <v>98.49</v>
      </c>
      <c r="U284" s="550">
        <v>361</v>
      </c>
      <c r="V284" s="549">
        <v>878</v>
      </c>
      <c r="W284" s="550">
        <v>55140</v>
      </c>
      <c r="X284" s="549">
        <v>7273</v>
      </c>
      <c r="Y284" s="550">
        <v>0</v>
      </c>
      <c r="Z284" s="549">
        <v>20073</v>
      </c>
      <c r="AA284" s="550">
        <v>523</v>
      </c>
      <c r="AB284" s="549">
        <v>19180</v>
      </c>
      <c r="AC284" s="550">
        <v>19703</v>
      </c>
      <c r="AD284" s="556">
        <v>98.16</v>
      </c>
      <c r="AE284" s="550">
        <v>-314</v>
      </c>
      <c r="AF284" s="549">
        <v>368</v>
      </c>
      <c r="AG284" s="550">
        <v>19234</v>
      </c>
      <c r="AH284" s="549">
        <v>2167</v>
      </c>
      <c r="AI284" s="550">
        <v>21446322.09</v>
      </c>
      <c r="AJ284" s="549">
        <v>38625.5</v>
      </c>
      <c r="AK284" s="550">
        <v>382.44</v>
      </c>
      <c r="AL284" s="549">
        <v>1591.56</v>
      </c>
      <c r="AM284" s="473">
        <f t="shared" si="19"/>
        <v>62083.476986399997</v>
      </c>
      <c r="AN284" s="141"/>
      <c r="AO284" s="566"/>
      <c r="AP284" s="567"/>
    </row>
    <row r="285" spans="1:42">
      <c r="A285" s="471">
        <v>274</v>
      </c>
      <c r="B285" s="481" t="s">
        <v>583</v>
      </c>
      <c r="C285" s="472" t="s">
        <v>584</v>
      </c>
      <c r="D285" s="550">
        <v>15548</v>
      </c>
      <c r="E285" s="549">
        <v>15301</v>
      </c>
      <c r="F285" s="550">
        <v>15239</v>
      </c>
      <c r="G285" s="549">
        <f t="shared" si="16"/>
        <v>46088</v>
      </c>
      <c r="H285" s="550">
        <v>11217</v>
      </c>
      <c r="I285" s="549">
        <v>11424</v>
      </c>
      <c r="J285" s="550">
        <v>10851</v>
      </c>
      <c r="K285" s="550">
        <f t="shared" si="17"/>
        <v>33492</v>
      </c>
      <c r="L285" s="549">
        <v>0</v>
      </c>
      <c r="M285" s="550">
        <v>0</v>
      </c>
      <c r="N285" s="549">
        <v>0</v>
      </c>
      <c r="O285" s="518">
        <f t="shared" si="18"/>
        <v>0</v>
      </c>
      <c r="P285" s="549">
        <v>52147</v>
      </c>
      <c r="Q285" s="550">
        <v>3525</v>
      </c>
      <c r="R285" s="549">
        <v>47600</v>
      </c>
      <c r="S285" s="550">
        <v>51125</v>
      </c>
      <c r="T285" s="556">
        <v>98.04</v>
      </c>
      <c r="U285" s="550">
        <v>586</v>
      </c>
      <c r="V285" s="549">
        <v>3565</v>
      </c>
      <c r="W285" s="550">
        <v>51751</v>
      </c>
      <c r="X285" s="549">
        <v>7242</v>
      </c>
      <c r="Y285" s="550">
        <v>0</v>
      </c>
      <c r="Z285" s="549">
        <v>39198</v>
      </c>
      <c r="AA285" s="550">
        <v>1911</v>
      </c>
      <c r="AB285" s="549">
        <v>37032</v>
      </c>
      <c r="AC285" s="550">
        <v>38943</v>
      </c>
      <c r="AD285" s="556">
        <v>99.35</v>
      </c>
      <c r="AE285" s="550">
        <v>65</v>
      </c>
      <c r="AF285" s="549">
        <v>2014</v>
      </c>
      <c r="AG285" s="550">
        <v>39111</v>
      </c>
      <c r="AH285" s="549">
        <v>7055</v>
      </c>
      <c r="AI285" s="550">
        <v>40856616.560000002</v>
      </c>
      <c r="AJ285" s="549">
        <v>42259.86</v>
      </c>
      <c r="AK285" s="550">
        <v>100.68</v>
      </c>
      <c r="AL285" s="549">
        <v>1419.87</v>
      </c>
      <c r="AM285" s="473">
        <f t="shared" si="19"/>
        <v>60146.459929799996</v>
      </c>
      <c r="AN285" s="141"/>
      <c r="AO285" s="566"/>
      <c r="AP285" s="567"/>
    </row>
    <row r="286" spans="1:42">
      <c r="A286" s="471">
        <v>275</v>
      </c>
      <c r="B286" s="481" t="s">
        <v>585</v>
      </c>
      <c r="C286" s="472" t="s">
        <v>586</v>
      </c>
      <c r="D286" s="550">
        <v>19754</v>
      </c>
      <c r="E286" s="549">
        <v>19250</v>
      </c>
      <c r="F286" s="550">
        <v>19545</v>
      </c>
      <c r="G286" s="549">
        <f t="shared" si="16"/>
        <v>58549</v>
      </c>
      <c r="H286" s="550">
        <v>10345</v>
      </c>
      <c r="I286" s="549">
        <v>8223</v>
      </c>
      <c r="J286" s="550">
        <v>8730</v>
      </c>
      <c r="K286" s="550">
        <f t="shared" si="17"/>
        <v>27298</v>
      </c>
      <c r="L286" s="549">
        <v>0</v>
      </c>
      <c r="M286" s="550">
        <v>0</v>
      </c>
      <c r="N286" s="549">
        <v>0</v>
      </c>
      <c r="O286" s="518">
        <f t="shared" si="18"/>
        <v>0</v>
      </c>
      <c r="P286" s="549">
        <v>67373</v>
      </c>
      <c r="Q286" s="550">
        <v>664</v>
      </c>
      <c r="R286" s="549">
        <v>65295</v>
      </c>
      <c r="S286" s="550">
        <v>65959</v>
      </c>
      <c r="T286" s="556">
        <v>97.9</v>
      </c>
      <c r="U286" s="550">
        <v>337</v>
      </c>
      <c r="V286" s="549">
        <v>428</v>
      </c>
      <c r="W286" s="550">
        <v>66060</v>
      </c>
      <c r="X286" s="549">
        <v>9868</v>
      </c>
      <c r="Y286" s="550">
        <v>0</v>
      </c>
      <c r="Z286" s="549">
        <v>30194</v>
      </c>
      <c r="AA286" s="550">
        <v>409</v>
      </c>
      <c r="AB286" s="549">
        <v>29347</v>
      </c>
      <c r="AC286" s="550">
        <v>29756</v>
      </c>
      <c r="AD286" s="556">
        <v>98.55</v>
      </c>
      <c r="AE286" s="550">
        <v>-427</v>
      </c>
      <c r="AF286" s="549">
        <v>45</v>
      </c>
      <c r="AG286" s="550">
        <v>28965</v>
      </c>
      <c r="AH286" s="549">
        <v>3883</v>
      </c>
      <c r="AI286" s="550">
        <v>31686416.600000001</v>
      </c>
      <c r="AJ286" s="549">
        <v>50875.9</v>
      </c>
      <c r="AK286" s="550">
        <v>1.5</v>
      </c>
      <c r="AL286" s="549">
        <v>1554.48</v>
      </c>
      <c r="AM286" s="473">
        <f t="shared" si="19"/>
        <v>79087.900752000001</v>
      </c>
      <c r="AN286" s="141"/>
      <c r="AO286" s="566"/>
      <c r="AP286" s="567"/>
    </row>
    <row r="287" spans="1:42">
      <c r="A287" s="471">
        <v>276</v>
      </c>
      <c r="B287" s="481" t="s">
        <v>587</v>
      </c>
      <c r="C287" s="472" t="s">
        <v>588</v>
      </c>
      <c r="D287" s="550">
        <v>18898</v>
      </c>
      <c r="E287" s="549">
        <v>18898</v>
      </c>
      <c r="F287" s="550">
        <v>18398</v>
      </c>
      <c r="G287" s="549">
        <f t="shared" si="16"/>
        <v>56194</v>
      </c>
      <c r="H287" s="550">
        <v>20879</v>
      </c>
      <c r="I287" s="549">
        <v>21088</v>
      </c>
      <c r="J287" s="550">
        <v>17618</v>
      </c>
      <c r="K287" s="550">
        <f t="shared" si="17"/>
        <v>59585</v>
      </c>
      <c r="L287" s="549">
        <v>0</v>
      </c>
      <c r="M287" s="550">
        <v>0</v>
      </c>
      <c r="N287" s="549">
        <v>0</v>
      </c>
      <c r="O287" s="518">
        <f t="shared" si="18"/>
        <v>0</v>
      </c>
      <c r="P287" s="549">
        <v>61381</v>
      </c>
      <c r="Q287" s="550">
        <v>411</v>
      </c>
      <c r="R287" s="549">
        <v>59219</v>
      </c>
      <c r="S287" s="550">
        <v>59630</v>
      </c>
      <c r="T287" s="556">
        <v>97.15</v>
      </c>
      <c r="U287" s="550">
        <v>633</v>
      </c>
      <c r="V287" s="549">
        <v>363</v>
      </c>
      <c r="W287" s="550">
        <v>60215</v>
      </c>
      <c r="X287" s="549">
        <v>7239</v>
      </c>
      <c r="Y287" s="550">
        <v>0</v>
      </c>
      <c r="Z287" s="549">
        <v>67518</v>
      </c>
      <c r="AA287" s="550">
        <v>377</v>
      </c>
      <c r="AB287" s="549">
        <v>65353</v>
      </c>
      <c r="AC287" s="550">
        <v>65730</v>
      </c>
      <c r="AD287" s="556">
        <v>97.35</v>
      </c>
      <c r="AE287" s="550">
        <v>-817</v>
      </c>
      <c r="AF287" s="549">
        <v>190</v>
      </c>
      <c r="AG287" s="550">
        <v>64726</v>
      </c>
      <c r="AH287" s="549">
        <v>5917</v>
      </c>
      <c r="AI287" s="550">
        <v>71021122.890000001</v>
      </c>
      <c r="AJ287" s="549">
        <v>52225.1</v>
      </c>
      <c r="AK287" s="550">
        <v>204.8</v>
      </c>
      <c r="AL287" s="549">
        <v>1477.23</v>
      </c>
      <c r="AM287" s="473">
        <f t="shared" si="19"/>
        <v>77451.021177000002</v>
      </c>
      <c r="AN287" s="141"/>
      <c r="AO287" s="566"/>
      <c r="AP287" s="567"/>
    </row>
    <row r="288" spans="1:42">
      <c r="A288" s="471">
        <v>277</v>
      </c>
      <c r="B288" s="481" t="s">
        <v>589</v>
      </c>
      <c r="C288" s="472" t="s">
        <v>590</v>
      </c>
      <c r="D288" s="550">
        <v>18724</v>
      </c>
      <c r="E288" s="549">
        <v>18334</v>
      </c>
      <c r="F288" s="550">
        <v>18294</v>
      </c>
      <c r="G288" s="549">
        <f t="shared" si="16"/>
        <v>55352</v>
      </c>
      <c r="H288" s="550">
        <v>8506</v>
      </c>
      <c r="I288" s="549">
        <v>7446</v>
      </c>
      <c r="J288" s="550">
        <v>6848</v>
      </c>
      <c r="K288" s="550">
        <f t="shared" si="17"/>
        <v>22800</v>
      </c>
      <c r="L288" s="549">
        <v>0</v>
      </c>
      <c r="M288" s="550">
        <v>0</v>
      </c>
      <c r="N288" s="549">
        <v>0</v>
      </c>
      <c r="O288" s="518">
        <f t="shared" si="18"/>
        <v>0</v>
      </c>
      <c r="P288" s="549">
        <v>61998</v>
      </c>
      <c r="Q288" s="550">
        <v>1327</v>
      </c>
      <c r="R288" s="549">
        <v>59406</v>
      </c>
      <c r="S288" s="550">
        <v>60733</v>
      </c>
      <c r="T288" s="556">
        <v>97.96</v>
      </c>
      <c r="U288" s="550">
        <v>701</v>
      </c>
      <c r="V288" s="549">
        <v>1141</v>
      </c>
      <c r="W288" s="550">
        <v>61248</v>
      </c>
      <c r="X288" s="549">
        <v>7755</v>
      </c>
      <c r="Y288" s="550">
        <v>0</v>
      </c>
      <c r="Z288" s="549">
        <v>25315</v>
      </c>
      <c r="AA288" s="550">
        <v>1055</v>
      </c>
      <c r="AB288" s="549">
        <v>24000</v>
      </c>
      <c r="AC288" s="550">
        <v>25055</v>
      </c>
      <c r="AD288" s="556">
        <v>98.97</v>
      </c>
      <c r="AE288" s="550">
        <v>-332</v>
      </c>
      <c r="AF288" s="549">
        <v>435</v>
      </c>
      <c r="AG288" s="550">
        <v>24103</v>
      </c>
      <c r="AH288" s="549">
        <v>2540</v>
      </c>
      <c r="AI288" s="550">
        <v>26195439.240000002</v>
      </c>
      <c r="AJ288" s="549">
        <v>54083.6</v>
      </c>
      <c r="AK288" s="550">
        <v>0</v>
      </c>
      <c r="AL288" s="549">
        <v>1472.59</v>
      </c>
      <c r="AM288" s="473">
        <f t="shared" si="19"/>
        <v>79642.968523999996</v>
      </c>
      <c r="AN288" s="141"/>
      <c r="AO288" s="566"/>
      <c r="AP288" s="567"/>
    </row>
    <row r="289" spans="1:42">
      <c r="A289" s="471">
        <v>278</v>
      </c>
      <c r="B289" s="481" t="s">
        <v>591</v>
      </c>
      <c r="C289" s="472" t="s">
        <v>592</v>
      </c>
      <c r="D289" s="550">
        <v>18679</v>
      </c>
      <c r="E289" s="549">
        <v>17776</v>
      </c>
      <c r="F289" s="550">
        <v>17599</v>
      </c>
      <c r="G289" s="549">
        <f t="shared" si="16"/>
        <v>54054</v>
      </c>
      <c r="H289" s="550">
        <v>16281</v>
      </c>
      <c r="I289" s="549">
        <v>13224</v>
      </c>
      <c r="J289" s="550">
        <v>12648</v>
      </c>
      <c r="K289" s="550">
        <f t="shared" si="17"/>
        <v>42153</v>
      </c>
      <c r="L289" s="549">
        <v>0</v>
      </c>
      <c r="M289" s="550">
        <v>0</v>
      </c>
      <c r="N289" s="549">
        <v>0</v>
      </c>
      <c r="O289" s="518">
        <f t="shared" si="18"/>
        <v>0</v>
      </c>
      <c r="P289" s="549">
        <v>60526</v>
      </c>
      <c r="Q289" s="550">
        <v>442</v>
      </c>
      <c r="R289" s="549">
        <v>59104</v>
      </c>
      <c r="S289" s="550">
        <v>59546</v>
      </c>
      <c r="T289" s="556">
        <v>98.38</v>
      </c>
      <c r="U289" s="550">
        <v>441</v>
      </c>
      <c r="V289" s="549">
        <v>425</v>
      </c>
      <c r="W289" s="550">
        <v>59970</v>
      </c>
      <c r="X289" s="549">
        <v>7462</v>
      </c>
      <c r="Y289" s="550">
        <v>0</v>
      </c>
      <c r="Z289" s="549">
        <v>47011</v>
      </c>
      <c r="AA289" s="550">
        <v>128</v>
      </c>
      <c r="AB289" s="549">
        <v>45556</v>
      </c>
      <c r="AC289" s="550">
        <v>45684</v>
      </c>
      <c r="AD289" s="556">
        <v>97.18</v>
      </c>
      <c r="AE289" s="550">
        <v>945</v>
      </c>
      <c r="AF289" s="549">
        <v>117</v>
      </c>
      <c r="AG289" s="550">
        <v>46618</v>
      </c>
      <c r="AH289" s="549">
        <v>5835</v>
      </c>
      <c r="AI289" s="550">
        <v>49173008.799999997</v>
      </c>
      <c r="AJ289" s="549">
        <v>47477.7</v>
      </c>
      <c r="AK289" s="550">
        <v>618</v>
      </c>
      <c r="AL289" s="549">
        <v>1407.52</v>
      </c>
      <c r="AM289" s="473">
        <f t="shared" si="19"/>
        <v>67695.659663999992</v>
      </c>
      <c r="AN289" s="141"/>
      <c r="AO289" s="566"/>
      <c r="AP289" s="567"/>
    </row>
    <row r="290" spans="1:42">
      <c r="A290" s="471">
        <v>279</v>
      </c>
      <c r="B290" s="481" t="s">
        <v>593</v>
      </c>
      <c r="C290" s="472" t="s">
        <v>594</v>
      </c>
      <c r="D290" s="550">
        <v>13041</v>
      </c>
      <c r="E290" s="549">
        <v>12691</v>
      </c>
      <c r="F290" s="550">
        <v>14458</v>
      </c>
      <c r="G290" s="549">
        <f t="shared" si="16"/>
        <v>40190</v>
      </c>
      <c r="H290" s="550">
        <v>11385</v>
      </c>
      <c r="I290" s="549">
        <v>10113</v>
      </c>
      <c r="J290" s="550">
        <v>10645</v>
      </c>
      <c r="K290" s="550">
        <f t="shared" si="17"/>
        <v>32143</v>
      </c>
      <c r="L290" s="549">
        <v>0</v>
      </c>
      <c r="M290" s="550">
        <v>0</v>
      </c>
      <c r="N290" s="549">
        <v>0</v>
      </c>
      <c r="O290" s="518">
        <f t="shared" si="18"/>
        <v>0</v>
      </c>
      <c r="P290" s="549">
        <v>42631</v>
      </c>
      <c r="Q290" s="550">
        <v>369</v>
      </c>
      <c r="R290" s="549">
        <v>41464</v>
      </c>
      <c r="S290" s="550">
        <v>41833</v>
      </c>
      <c r="T290" s="556">
        <v>98.13</v>
      </c>
      <c r="U290" s="550">
        <v>393</v>
      </c>
      <c r="V290" s="549">
        <v>361</v>
      </c>
      <c r="W290" s="550">
        <v>42218</v>
      </c>
      <c r="X290" s="549">
        <v>5005</v>
      </c>
      <c r="Y290" s="550">
        <v>0</v>
      </c>
      <c r="Z290" s="549">
        <v>34647</v>
      </c>
      <c r="AA290" s="550">
        <v>211</v>
      </c>
      <c r="AB290" s="549">
        <v>34319</v>
      </c>
      <c r="AC290" s="550">
        <v>34530</v>
      </c>
      <c r="AD290" s="556">
        <v>99.66</v>
      </c>
      <c r="AE290" s="550">
        <v>-1070</v>
      </c>
      <c r="AF290" s="549">
        <v>143</v>
      </c>
      <c r="AG290" s="550">
        <v>33392</v>
      </c>
      <c r="AH290" s="549">
        <v>3409</v>
      </c>
      <c r="AI290" s="550">
        <v>36052763.060000002</v>
      </c>
      <c r="AJ290" s="549">
        <v>32393.65</v>
      </c>
      <c r="AK290" s="550">
        <v>435.9</v>
      </c>
      <c r="AL290" s="549">
        <v>1442.54</v>
      </c>
      <c r="AM290" s="473">
        <f t="shared" si="19"/>
        <v>47357.939057000003</v>
      </c>
      <c r="AN290" s="141"/>
      <c r="AO290" s="566"/>
      <c r="AP290" s="567"/>
    </row>
    <row r="291" spans="1:42">
      <c r="A291" s="471">
        <v>280</v>
      </c>
      <c r="B291" s="481" t="s">
        <v>595</v>
      </c>
      <c r="C291" s="472" t="s">
        <v>596</v>
      </c>
      <c r="D291" s="550">
        <v>16471</v>
      </c>
      <c r="E291" s="549">
        <v>16922</v>
      </c>
      <c r="F291" s="550">
        <v>14548</v>
      </c>
      <c r="G291" s="549">
        <f t="shared" si="16"/>
        <v>47941</v>
      </c>
      <c r="H291" s="550">
        <v>11416</v>
      </c>
      <c r="I291" s="549">
        <v>8853</v>
      </c>
      <c r="J291" s="550">
        <v>7911</v>
      </c>
      <c r="K291" s="550">
        <f t="shared" si="17"/>
        <v>28180</v>
      </c>
      <c r="L291" s="549">
        <v>0</v>
      </c>
      <c r="M291" s="550">
        <v>0</v>
      </c>
      <c r="N291" s="549">
        <v>0</v>
      </c>
      <c r="O291" s="518">
        <f t="shared" si="18"/>
        <v>0</v>
      </c>
      <c r="P291" s="549">
        <v>56262</v>
      </c>
      <c r="Q291" s="550">
        <v>714</v>
      </c>
      <c r="R291" s="549">
        <v>53480</v>
      </c>
      <c r="S291" s="550">
        <v>54194</v>
      </c>
      <c r="T291" s="556">
        <v>96.32</v>
      </c>
      <c r="U291" s="550">
        <v>1250</v>
      </c>
      <c r="V291" s="549">
        <v>685</v>
      </c>
      <c r="W291" s="550">
        <v>55415</v>
      </c>
      <c r="X291" s="549">
        <v>9307</v>
      </c>
      <c r="Y291" s="550">
        <v>0</v>
      </c>
      <c r="Z291" s="549">
        <v>32214</v>
      </c>
      <c r="AA291" s="550">
        <v>537</v>
      </c>
      <c r="AB291" s="549">
        <v>31046</v>
      </c>
      <c r="AC291" s="550">
        <v>31583</v>
      </c>
      <c r="AD291" s="556">
        <v>98.04</v>
      </c>
      <c r="AE291" s="550">
        <v>6</v>
      </c>
      <c r="AF291" s="549">
        <v>191</v>
      </c>
      <c r="AG291" s="550">
        <v>31243</v>
      </c>
      <c r="AH291" s="549">
        <v>4195</v>
      </c>
      <c r="AI291" s="550">
        <v>34298290.769999996</v>
      </c>
      <c r="AJ291" s="549">
        <v>47735.8</v>
      </c>
      <c r="AK291" s="550">
        <v>24.3</v>
      </c>
      <c r="AL291" s="549">
        <v>1485.54</v>
      </c>
      <c r="AM291" s="473">
        <f t="shared" si="19"/>
        <v>70949.538954000018</v>
      </c>
      <c r="AN291" s="141"/>
      <c r="AO291" s="566"/>
      <c r="AP291" s="567"/>
    </row>
    <row r="292" spans="1:42">
      <c r="A292" s="471">
        <v>281</v>
      </c>
      <c r="B292" s="481" t="s">
        <v>597</v>
      </c>
      <c r="C292" s="472" t="s">
        <v>598</v>
      </c>
      <c r="D292" s="550">
        <v>15702</v>
      </c>
      <c r="E292" s="549">
        <v>15214</v>
      </c>
      <c r="F292" s="550">
        <v>15155</v>
      </c>
      <c r="G292" s="549">
        <f t="shared" si="16"/>
        <v>46071</v>
      </c>
      <c r="H292" s="550">
        <v>9320</v>
      </c>
      <c r="I292" s="549">
        <v>8671</v>
      </c>
      <c r="J292" s="550">
        <v>7743</v>
      </c>
      <c r="K292" s="550">
        <f t="shared" si="17"/>
        <v>25734</v>
      </c>
      <c r="L292" s="549">
        <v>0</v>
      </c>
      <c r="M292" s="550">
        <v>0</v>
      </c>
      <c r="N292" s="549">
        <v>0</v>
      </c>
      <c r="O292" s="518">
        <f t="shared" si="18"/>
        <v>0</v>
      </c>
      <c r="P292" s="549">
        <v>51952</v>
      </c>
      <c r="Q292" s="550">
        <v>577</v>
      </c>
      <c r="R292" s="549">
        <v>50106</v>
      </c>
      <c r="S292" s="550">
        <v>50683</v>
      </c>
      <c r="T292" s="556">
        <v>97.56</v>
      </c>
      <c r="U292" s="550">
        <v>790</v>
      </c>
      <c r="V292" s="549">
        <v>479</v>
      </c>
      <c r="W292" s="550">
        <v>51375</v>
      </c>
      <c r="X292" s="549">
        <v>6461</v>
      </c>
      <c r="Y292" s="550">
        <v>0</v>
      </c>
      <c r="Z292" s="549">
        <v>26456</v>
      </c>
      <c r="AA292" s="550">
        <v>567</v>
      </c>
      <c r="AB292" s="549">
        <v>25533</v>
      </c>
      <c r="AC292" s="550">
        <v>26100</v>
      </c>
      <c r="AD292" s="556">
        <v>98.65</v>
      </c>
      <c r="AE292" s="550">
        <v>-1565</v>
      </c>
      <c r="AF292" s="549">
        <v>447</v>
      </c>
      <c r="AG292" s="550">
        <v>24415</v>
      </c>
      <c r="AH292" s="549">
        <v>2464</v>
      </c>
      <c r="AI292" s="550">
        <v>27219120.050000001</v>
      </c>
      <c r="AJ292" s="549">
        <v>39494.19</v>
      </c>
      <c r="AK292" s="550">
        <v>214</v>
      </c>
      <c r="AL292" s="549">
        <v>1461.15</v>
      </c>
      <c r="AM292" s="473">
        <f t="shared" si="19"/>
        <v>58019.621818500003</v>
      </c>
      <c r="AN292" s="141"/>
      <c r="AO292" s="566"/>
      <c r="AP292" s="567"/>
    </row>
    <row r="293" spans="1:42">
      <c r="A293" s="471">
        <v>282</v>
      </c>
      <c r="B293" s="481" t="s">
        <v>599</v>
      </c>
      <c r="C293" s="472" t="s">
        <v>600</v>
      </c>
      <c r="D293" s="550">
        <v>17114</v>
      </c>
      <c r="E293" s="549">
        <v>16190</v>
      </c>
      <c r="F293" s="550">
        <v>16139</v>
      </c>
      <c r="G293" s="549">
        <f t="shared" si="16"/>
        <v>49443</v>
      </c>
      <c r="H293" s="550">
        <v>32300</v>
      </c>
      <c r="I293" s="549">
        <v>29372</v>
      </c>
      <c r="J293" s="550">
        <v>30236</v>
      </c>
      <c r="K293" s="550">
        <f t="shared" si="17"/>
        <v>91908</v>
      </c>
      <c r="L293" s="549">
        <v>0</v>
      </c>
      <c r="M293" s="550">
        <v>0</v>
      </c>
      <c r="N293" s="549">
        <v>0</v>
      </c>
      <c r="O293" s="518">
        <f t="shared" si="18"/>
        <v>0</v>
      </c>
      <c r="P293" s="549">
        <v>58075</v>
      </c>
      <c r="Q293" s="550">
        <v>351</v>
      </c>
      <c r="R293" s="549">
        <v>57078</v>
      </c>
      <c r="S293" s="550">
        <v>57429</v>
      </c>
      <c r="T293" s="556">
        <v>98.89</v>
      </c>
      <c r="U293" s="550">
        <v>582</v>
      </c>
      <c r="V293" s="549">
        <v>253</v>
      </c>
      <c r="W293" s="550">
        <v>57913</v>
      </c>
      <c r="X293" s="549">
        <v>11518</v>
      </c>
      <c r="Y293" s="550">
        <v>0</v>
      </c>
      <c r="Z293" s="549">
        <v>103430</v>
      </c>
      <c r="AA293" s="550">
        <v>79</v>
      </c>
      <c r="AB293" s="549">
        <v>101482</v>
      </c>
      <c r="AC293" s="550">
        <v>101561</v>
      </c>
      <c r="AD293" s="556">
        <v>98.19</v>
      </c>
      <c r="AE293" s="550">
        <v>-3218</v>
      </c>
      <c r="AF293" s="549">
        <v>107</v>
      </c>
      <c r="AG293" s="550">
        <v>98371</v>
      </c>
      <c r="AH293" s="549">
        <v>11906</v>
      </c>
      <c r="AI293" s="550">
        <v>106808618.8</v>
      </c>
      <c r="AJ293" s="549">
        <v>53054</v>
      </c>
      <c r="AK293" s="550">
        <v>0</v>
      </c>
      <c r="AL293" s="549">
        <v>1332.54</v>
      </c>
      <c r="AM293" s="473">
        <f t="shared" si="19"/>
        <v>70696.577160000001</v>
      </c>
      <c r="AN293" s="141"/>
      <c r="AO293" s="566"/>
      <c r="AP293" s="567"/>
    </row>
    <row r="294" spans="1:42">
      <c r="A294" s="471">
        <v>283</v>
      </c>
      <c r="B294" s="481" t="s">
        <v>601</v>
      </c>
      <c r="C294" s="472" t="s">
        <v>602</v>
      </c>
      <c r="D294" s="550">
        <v>18039</v>
      </c>
      <c r="E294" s="549">
        <v>19151</v>
      </c>
      <c r="F294" s="550">
        <v>19835</v>
      </c>
      <c r="G294" s="549">
        <f t="shared" si="16"/>
        <v>57025</v>
      </c>
      <c r="H294" s="550">
        <v>18404</v>
      </c>
      <c r="I294" s="549">
        <v>14749</v>
      </c>
      <c r="J294" s="550">
        <v>15342</v>
      </c>
      <c r="K294" s="550">
        <f t="shared" si="17"/>
        <v>48495</v>
      </c>
      <c r="L294" s="549">
        <v>0</v>
      </c>
      <c r="M294" s="550">
        <v>0</v>
      </c>
      <c r="N294" s="549">
        <v>0</v>
      </c>
      <c r="O294" s="518">
        <f t="shared" si="18"/>
        <v>0</v>
      </c>
      <c r="P294" s="549">
        <v>65551</v>
      </c>
      <c r="Q294" s="550">
        <v>633</v>
      </c>
      <c r="R294" s="549">
        <v>63910</v>
      </c>
      <c r="S294" s="550">
        <v>64543</v>
      </c>
      <c r="T294" s="556">
        <v>98.46</v>
      </c>
      <c r="U294" s="550">
        <v>888</v>
      </c>
      <c r="V294" s="549">
        <v>518</v>
      </c>
      <c r="W294" s="550">
        <v>65316</v>
      </c>
      <c r="X294" s="549">
        <v>9659</v>
      </c>
      <c r="Y294" s="550">
        <v>0</v>
      </c>
      <c r="Z294" s="549">
        <v>53515</v>
      </c>
      <c r="AA294" s="550">
        <v>1054</v>
      </c>
      <c r="AB294" s="549">
        <v>52306</v>
      </c>
      <c r="AC294" s="550">
        <v>53360</v>
      </c>
      <c r="AD294" s="556">
        <v>99.71</v>
      </c>
      <c r="AE294" s="550">
        <v>-625</v>
      </c>
      <c r="AF294" s="549">
        <v>410</v>
      </c>
      <c r="AG294" s="550">
        <v>52091</v>
      </c>
      <c r="AH294" s="549">
        <v>4689</v>
      </c>
      <c r="AI294" s="550">
        <v>55780551.68</v>
      </c>
      <c r="AJ294" s="549">
        <v>49323.78</v>
      </c>
      <c r="AK294" s="550">
        <v>27.56</v>
      </c>
      <c r="AL294" s="549">
        <v>1479.25</v>
      </c>
      <c r="AM294" s="473">
        <f t="shared" si="19"/>
        <v>73002.969694999992</v>
      </c>
      <c r="AN294" s="141"/>
      <c r="AO294" s="566"/>
      <c r="AP294" s="567"/>
    </row>
    <row r="295" spans="1:42">
      <c r="A295" s="471">
        <v>284</v>
      </c>
      <c r="B295" s="481" t="s">
        <v>603</v>
      </c>
      <c r="C295" s="472" t="s">
        <v>604</v>
      </c>
      <c r="D295" s="550">
        <v>17759</v>
      </c>
      <c r="E295" s="549">
        <v>17188</v>
      </c>
      <c r="F295" s="550">
        <v>18017</v>
      </c>
      <c r="G295" s="549">
        <f t="shared" si="16"/>
        <v>52964</v>
      </c>
      <c r="H295" s="550">
        <v>11854</v>
      </c>
      <c r="I295" s="549">
        <v>9888</v>
      </c>
      <c r="J295" s="550">
        <v>9623</v>
      </c>
      <c r="K295" s="550">
        <f t="shared" si="17"/>
        <v>31365</v>
      </c>
      <c r="L295" s="549">
        <v>0</v>
      </c>
      <c r="M295" s="550">
        <v>0</v>
      </c>
      <c r="N295" s="549">
        <v>0</v>
      </c>
      <c r="O295" s="518">
        <f t="shared" si="18"/>
        <v>0</v>
      </c>
      <c r="P295" s="549">
        <v>59813</v>
      </c>
      <c r="Q295" s="550">
        <v>572</v>
      </c>
      <c r="R295" s="549">
        <v>56897</v>
      </c>
      <c r="S295" s="550">
        <v>57469</v>
      </c>
      <c r="T295" s="556">
        <v>96.08</v>
      </c>
      <c r="U295" s="550">
        <v>981</v>
      </c>
      <c r="V295" s="549">
        <v>1189</v>
      </c>
      <c r="W295" s="550">
        <v>59067</v>
      </c>
      <c r="X295" s="549">
        <v>8776</v>
      </c>
      <c r="Y295" s="550">
        <v>0</v>
      </c>
      <c r="Z295" s="549">
        <v>36385</v>
      </c>
      <c r="AA295" s="550">
        <v>310</v>
      </c>
      <c r="AB295" s="549">
        <v>34934</v>
      </c>
      <c r="AC295" s="550">
        <v>35244</v>
      </c>
      <c r="AD295" s="556">
        <v>96.86</v>
      </c>
      <c r="AE295" s="550">
        <v>-799</v>
      </c>
      <c r="AF295" s="549">
        <v>561</v>
      </c>
      <c r="AG295" s="550">
        <v>34696</v>
      </c>
      <c r="AH295" s="549">
        <v>4915</v>
      </c>
      <c r="AI295" s="550">
        <v>38342213.289999999</v>
      </c>
      <c r="AJ295" s="549">
        <v>52172.9</v>
      </c>
      <c r="AK295" s="550">
        <v>0</v>
      </c>
      <c r="AL295" s="549">
        <v>1503.21</v>
      </c>
      <c r="AM295" s="473">
        <f t="shared" si="19"/>
        <v>78426.825009000007</v>
      </c>
      <c r="AN295" s="141"/>
      <c r="AO295" s="566"/>
      <c r="AP295" s="567"/>
    </row>
    <row r="296" spans="1:42">
      <c r="A296" s="471">
        <v>285</v>
      </c>
      <c r="B296" s="481" t="s">
        <v>605</v>
      </c>
      <c r="C296" s="472" t="s">
        <v>606</v>
      </c>
      <c r="D296" s="550">
        <v>9727</v>
      </c>
      <c r="E296" s="549">
        <v>9674</v>
      </c>
      <c r="F296" s="550">
        <v>9651</v>
      </c>
      <c r="G296" s="549">
        <f t="shared" si="16"/>
        <v>29052</v>
      </c>
      <c r="H296" s="550">
        <v>3323</v>
      </c>
      <c r="I296" s="549">
        <v>2854</v>
      </c>
      <c r="J296" s="550">
        <v>2667</v>
      </c>
      <c r="K296" s="550">
        <f t="shared" si="17"/>
        <v>8844</v>
      </c>
      <c r="L296" s="549">
        <v>0</v>
      </c>
      <c r="M296" s="550">
        <v>0</v>
      </c>
      <c r="N296" s="549">
        <v>0</v>
      </c>
      <c r="O296" s="518">
        <f t="shared" si="18"/>
        <v>0</v>
      </c>
      <c r="P296" s="549">
        <v>32145</v>
      </c>
      <c r="Q296" s="550">
        <v>378</v>
      </c>
      <c r="R296" s="549">
        <v>31254</v>
      </c>
      <c r="S296" s="550">
        <v>31632</v>
      </c>
      <c r="T296" s="556">
        <v>98.3</v>
      </c>
      <c r="U296" s="550">
        <v>535</v>
      </c>
      <c r="V296" s="549">
        <v>371</v>
      </c>
      <c r="W296" s="550">
        <v>32159</v>
      </c>
      <c r="X296" s="549">
        <v>4203</v>
      </c>
      <c r="Y296" s="550">
        <v>0</v>
      </c>
      <c r="Z296" s="549">
        <v>10097</v>
      </c>
      <c r="AA296" s="550">
        <v>182</v>
      </c>
      <c r="AB296" s="549">
        <v>9819</v>
      </c>
      <c r="AC296" s="550">
        <v>10001</v>
      </c>
      <c r="AD296" s="556">
        <v>99.05</v>
      </c>
      <c r="AE296" s="550">
        <v>73</v>
      </c>
      <c r="AF296" s="549">
        <v>119</v>
      </c>
      <c r="AG296" s="550">
        <v>10011</v>
      </c>
      <c r="AH296" s="549">
        <v>955</v>
      </c>
      <c r="AI296" s="550">
        <v>10331581.859999999</v>
      </c>
      <c r="AJ296" s="549">
        <v>25109.41</v>
      </c>
      <c r="AK296" s="550">
        <v>0</v>
      </c>
      <c r="AL296" s="549">
        <v>1539.4</v>
      </c>
      <c r="AM296" s="473">
        <f t="shared" si="19"/>
        <v>38653.425754000004</v>
      </c>
      <c r="AN296" s="141"/>
      <c r="AO296" s="566"/>
      <c r="AP296" s="567"/>
    </row>
    <row r="297" spans="1:42">
      <c r="A297" s="471">
        <v>286</v>
      </c>
      <c r="B297" s="481" t="s">
        <v>607</v>
      </c>
      <c r="C297" s="472" t="s">
        <v>608</v>
      </c>
      <c r="D297" s="550">
        <v>22163</v>
      </c>
      <c r="E297" s="549">
        <v>20837</v>
      </c>
      <c r="F297" s="550">
        <v>21082</v>
      </c>
      <c r="G297" s="549">
        <f t="shared" si="16"/>
        <v>64082</v>
      </c>
      <c r="H297" s="550">
        <v>111626</v>
      </c>
      <c r="I297" s="549">
        <v>106877</v>
      </c>
      <c r="J297" s="550">
        <v>90773</v>
      </c>
      <c r="K297" s="550">
        <f t="shared" si="17"/>
        <v>309276</v>
      </c>
      <c r="L297" s="549">
        <v>0</v>
      </c>
      <c r="M297" s="550">
        <v>0</v>
      </c>
      <c r="N297" s="549">
        <v>0</v>
      </c>
      <c r="O297" s="518">
        <f t="shared" si="18"/>
        <v>0</v>
      </c>
      <c r="P297" s="549">
        <v>84112</v>
      </c>
      <c r="Q297" s="550">
        <v>1856</v>
      </c>
      <c r="R297" s="549">
        <v>78097</v>
      </c>
      <c r="S297" s="550">
        <v>79953</v>
      </c>
      <c r="T297" s="556">
        <v>95.06</v>
      </c>
      <c r="U297" s="550">
        <v>2402</v>
      </c>
      <c r="V297" s="549">
        <v>1242</v>
      </c>
      <c r="W297" s="550">
        <v>81741</v>
      </c>
      <c r="X297" s="549">
        <v>21671</v>
      </c>
      <c r="Y297" s="550">
        <v>0</v>
      </c>
      <c r="Z297" s="549">
        <v>335873</v>
      </c>
      <c r="AA297" s="550">
        <v>14331</v>
      </c>
      <c r="AB297" s="549">
        <v>320477</v>
      </c>
      <c r="AC297" s="550">
        <v>334808</v>
      </c>
      <c r="AD297" s="556">
        <v>99.68</v>
      </c>
      <c r="AE297" s="550">
        <v>-536</v>
      </c>
      <c r="AF297" s="549">
        <v>3283</v>
      </c>
      <c r="AG297" s="550">
        <v>323224</v>
      </c>
      <c r="AH297" s="549">
        <v>31195</v>
      </c>
      <c r="AI297" s="550">
        <v>346320082.94999999</v>
      </c>
      <c r="AJ297" s="549">
        <v>99561.61</v>
      </c>
      <c r="AK297" s="550">
        <v>0</v>
      </c>
      <c r="AL297" s="549">
        <v>1188.52</v>
      </c>
      <c r="AM297" s="473">
        <f t="shared" si="19"/>
        <v>118330.9647172</v>
      </c>
      <c r="AN297" s="141"/>
      <c r="AO297" s="566"/>
      <c r="AP297" s="567"/>
    </row>
    <row r="298" spans="1:42">
      <c r="A298" s="471">
        <v>287</v>
      </c>
      <c r="B298" s="481" t="s">
        <v>609</v>
      </c>
      <c r="C298" s="472" t="s">
        <v>610</v>
      </c>
      <c r="D298" s="550">
        <v>27875</v>
      </c>
      <c r="E298" s="549">
        <v>27204</v>
      </c>
      <c r="F298" s="550">
        <v>27039</v>
      </c>
      <c r="G298" s="549">
        <f t="shared" si="16"/>
        <v>82118</v>
      </c>
      <c r="H298" s="550">
        <v>45280</v>
      </c>
      <c r="I298" s="549">
        <v>44372</v>
      </c>
      <c r="J298" s="550">
        <v>47323</v>
      </c>
      <c r="K298" s="550">
        <f t="shared" si="17"/>
        <v>136975</v>
      </c>
      <c r="L298" s="549">
        <v>0</v>
      </c>
      <c r="M298" s="550">
        <v>0</v>
      </c>
      <c r="N298" s="549">
        <v>0</v>
      </c>
      <c r="O298" s="518">
        <f t="shared" si="18"/>
        <v>0</v>
      </c>
      <c r="P298" s="549">
        <v>92075</v>
      </c>
      <c r="Q298" s="550">
        <v>2280</v>
      </c>
      <c r="R298" s="549">
        <v>87997</v>
      </c>
      <c r="S298" s="550">
        <v>90277</v>
      </c>
      <c r="T298" s="556">
        <v>98.05</v>
      </c>
      <c r="U298" s="550">
        <v>1558</v>
      </c>
      <c r="V298" s="549">
        <v>2193</v>
      </c>
      <c r="W298" s="550">
        <v>91748</v>
      </c>
      <c r="X298" s="549">
        <v>11583</v>
      </c>
      <c r="Y298" s="550">
        <v>0</v>
      </c>
      <c r="Z298" s="549">
        <v>156214</v>
      </c>
      <c r="AA298" s="550">
        <v>2007</v>
      </c>
      <c r="AB298" s="549">
        <v>150855</v>
      </c>
      <c r="AC298" s="550">
        <v>152862</v>
      </c>
      <c r="AD298" s="556">
        <v>97.85</v>
      </c>
      <c r="AE298" s="550">
        <v>-1333</v>
      </c>
      <c r="AF298" s="549">
        <v>2155</v>
      </c>
      <c r="AG298" s="550">
        <v>151677</v>
      </c>
      <c r="AH298" s="549">
        <v>15765</v>
      </c>
      <c r="AI298" s="550">
        <v>166064914.94999999</v>
      </c>
      <c r="AJ298" s="549">
        <v>81625.440000000002</v>
      </c>
      <c r="AK298" s="550">
        <v>0</v>
      </c>
      <c r="AL298" s="549">
        <v>1313</v>
      </c>
      <c r="AM298" s="473">
        <f t="shared" si="19"/>
        <v>107174.20272</v>
      </c>
      <c r="AN298" s="141"/>
      <c r="AO298" s="566"/>
      <c r="AP298" s="567"/>
    </row>
    <row r="299" spans="1:42">
      <c r="A299" s="471">
        <v>288</v>
      </c>
      <c r="B299" s="481" t="s">
        <v>611</v>
      </c>
      <c r="C299" s="472" t="s">
        <v>612</v>
      </c>
      <c r="D299" s="550">
        <v>18605</v>
      </c>
      <c r="E299" s="549">
        <v>17296</v>
      </c>
      <c r="F299" s="550">
        <v>17622</v>
      </c>
      <c r="G299" s="549">
        <f t="shared" si="16"/>
        <v>53523</v>
      </c>
      <c r="H299" s="550">
        <v>16958</v>
      </c>
      <c r="I299" s="549">
        <v>14740</v>
      </c>
      <c r="J299" s="550">
        <v>13943</v>
      </c>
      <c r="K299" s="550">
        <f t="shared" si="17"/>
        <v>45641</v>
      </c>
      <c r="L299" s="549">
        <v>0</v>
      </c>
      <c r="M299" s="550">
        <v>0</v>
      </c>
      <c r="N299" s="549">
        <v>0</v>
      </c>
      <c r="O299" s="518">
        <f t="shared" si="18"/>
        <v>0</v>
      </c>
      <c r="P299" s="549">
        <v>60064</v>
      </c>
      <c r="Q299" s="550">
        <v>873</v>
      </c>
      <c r="R299" s="549">
        <v>58213</v>
      </c>
      <c r="S299" s="550">
        <v>59086</v>
      </c>
      <c r="T299" s="556">
        <v>98.37</v>
      </c>
      <c r="U299" s="550">
        <v>571</v>
      </c>
      <c r="V299" s="549">
        <v>908</v>
      </c>
      <c r="W299" s="550">
        <v>59692</v>
      </c>
      <c r="X299" s="549">
        <v>7333</v>
      </c>
      <c r="Y299" s="550">
        <v>0</v>
      </c>
      <c r="Z299" s="549">
        <v>51047</v>
      </c>
      <c r="AA299" s="550">
        <v>332</v>
      </c>
      <c r="AB299" s="549">
        <v>49605</v>
      </c>
      <c r="AC299" s="550">
        <v>49937</v>
      </c>
      <c r="AD299" s="556">
        <v>97.83</v>
      </c>
      <c r="AE299" s="550">
        <v>789</v>
      </c>
      <c r="AF299" s="549">
        <v>413</v>
      </c>
      <c r="AG299" s="550">
        <v>50807</v>
      </c>
      <c r="AH299" s="549">
        <v>6378</v>
      </c>
      <c r="AI299" s="550">
        <v>53374520.530000001</v>
      </c>
      <c r="AJ299" s="549">
        <v>46300.5</v>
      </c>
      <c r="AK299" s="550">
        <v>0</v>
      </c>
      <c r="AL299" s="549">
        <v>1450.98</v>
      </c>
      <c r="AM299" s="473">
        <f t="shared" si="19"/>
        <v>67181.099489999993</v>
      </c>
      <c r="AN299" s="141"/>
      <c r="AO299" s="566"/>
      <c r="AP299" s="567"/>
    </row>
    <row r="300" spans="1:42">
      <c r="A300" s="471">
        <v>289</v>
      </c>
      <c r="B300" s="481" t="s">
        <v>613</v>
      </c>
      <c r="C300" s="472" t="s">
        <v>614</v>
      </c>
      <c r="D300" s="550">
        <v>14814</v>
      </c>
      <c r="E300" s="549">
        <v>14075</v>
      </c>
      <c r="F300" s="550">
        <v>14000</v>
      </c>
      <c r="G300" s="549">
        <f t="shared" si="16"/>
        <v>42889</v>
      </c>
      <c r="H300" s="550">
        <v>12597</v>
      </c>
      <c r="I300" s="549">
        <v>11927</v>
      </c>
      <c r="J300" s="550">
        <v>12161</v>
      </c>
      <c r="K300" s="550">
        <f t="shared" si="17"/>
        <v>36685</v>
      </c>
      <c r="L300" s="549">
        <v>0</v>
      </c>
      <c r="M300" s="550">
        <v>0</v>
      </c>
      <c r="N300" s="549">
        <v>0</v>
      </c>
      <c r="O300" s="518">
        <f t="shared" si="18"/>
        <v>0</v>
      </c>
      <c r="P300" s="549">
        <v>47886</v>
      </c>
      <c r="Q300" s="550">
        <v>527</v>
      </c>
      <c r="R300" s="549">
        <v>46716</v>
      </c>
      <c r="S300" s="550">
        <v>47243</v>
      </c>
      <c r="T300" s="556">
        <v>98.66</v>
      </c>
      <c r="U300" s="550">
        <v>310</v>
      </c>
      <c r="V300" s="549">
        <v>442</v>
      </c>
      <c r="W300" s="550">
        <v>47468</v>
      </c>
      <c r="X300" s="549">
        <v>5577</v>
      </c>
      <c r="Y300" s="550">
        <v>0</v>
      </c>
      <c r="Z300" s="549">
        <v>40357</v>
      </c>
      <c r="AA300" s="550">
        <v>230</v>
      </c>
      <c r="AB300" s="549">
        <v>38570</v>
      </c>
      <c r="AC300" s="550">
        <v>38800</v>
      </c>
      <c r="AD300" s="556">
        <v>96.14</v>
      </c>
      <c r="AE300" s="550">
        <v>190</v>
      </c>
      <c r="AF300" s="549">
        <v>76</v>
      </c>
      <c r="AG300" s="550">
        <v>38836</v>
      </c>
      <c r="AH300" s="549">
        <v>4316</v>
      </c>
      <c r="AI300" s="550">
        <v>42132041.630000003</v>
      </c>
      <c r="AJ300" s="549">
        <v>34655</v>
      </c>
      <c r="AK300" s="550">
        <v>195.9</v>
      </c>
      <c r="AL300" s="549">
        <v>1513.69</v>
      </c>
      <c r="AM300" s="473">
        <f t="shared" si="19"/>
        <v>52753.458821</v>
      </c>
      <c r="AN300" s="141"/>
      <c r="AO300" s="566"/>
      <c r="AP300" s="567"/>
    </row>
    <row r="301" spans="1:42">
      <c r="A301" s="471">
        <v>290</v>
      </c>
      <c r="B301" s="481" t="s">
        <v>615</v>
      </c>
      <c r="C301" s="472" t="s">
        <v>616</v>
      </c>
      <c r="D301" s="550">
        <v>21311</v>
      </c>
      <c r="E301" s="549">
        <v>20644</v>
      </c>
      <c r="F301" s="550">
        <v>20860</v>
      </c>
      <c r="G301" s="549">
        <f t="shared" si="16"/>
        <v>62815</v>
      </c>
      <c r="H301" s="550">
        <v>19852</v>
      </c>
      <c r="I301" s="549">
        <v>15800.29</v>
      </c>
      <c r="J301" s="550">
        <v>15523</v>
      </c>
      <c r="K301" s="550">
        <f t="shared" si="17"/>
        <v>51175.29</v>
      </c>
      <c r="L301" s="549">
        <v>0</v>
      </c>
      <c r="M301" s="550">
        <v>0</v>
      </c>
      <c r="N301" s="549">
        <v>0</v>
      </c>
      <c r="O301" s="518">
        <f t="shared" si="18"/>
        <v>0</v>
      </c>
      <c r="P301" s="549">
        <v>69309</v>
      </c>
      <c r="Q301" s="550">
        <v>764</v>
      </c>
      <c r="R301" s="549">
        <v>67732</v>
      </c>
      <c r="S301" s="550">
        <v>68496</v>
      </c>
      <c r="T301" s="556">
        <v>98.83</v>
      </c>
      <c r="U301" s="550">
        <v>433</v>
      </c>
      <c r="V301" s="549">
        <v>946</v>
      </c>
      <c r="W301" s="550">
        <v>69111</v>
      </c>
      <c r="X301" s="549">
        <v>8636</v>
      </c>
      <c r="Y301" s="550">
        <v>0</v>
      </c>
      <c r="Z301" s="549">
        <v>57698</v>
      </c>
      <c r="AA301" s="550">
        <v>488</v>
      </c>
      <c r="AB301" s="549">
        <v>56850</v>
      </c>
      <c r="AC301" s="550">
        <v>57338</v>
      </c>
      <c r="AD301" s="556">
        <v>99.38</v>
      </c>
      <c r="AE301" s="550">
        <v>-99</v>
      </c>
      <c r="AF301" s="549">
        <v>623</v>
      </c>
      <c r="AG301" s="550">
        <v>57374</v>
      </c>
      <c r="AH301" s="549">
        <v>5379</v>
      </c>
      <c r="AI301" s="550">
        <v>60874422.82</v>
      </c>
      <c r="AJ301" s="549">
        <v>49681</v>
      </c>
      <c r="AK301" s="550">
        <v>1023.2</v>
      </c>
      <c r="AL301" s="549">
        <v>1520.2</v>
      </c>
      <c r="AM301" s="473">
        <f t="shared" si="19"/>
        <v>77080.524839999998</v>
      </c>
      <c r="AN301" s="141"/>
      <c r="AO301" s="566"/>
      <c r="AP301" s="567"/>
    </row>
    <row r="302" spans="1:42">
      <c r="A302" s="471">
        <v>291</v>
      </c>
      <c r="B302" s="481" t="s">
        <v>617</v>
      </c>
      <c r="C302" s="472" t="s">
        <v>618</v>
      </c>
      <c r="D302" s="550">
        <v>37136</v>
      </c>
      <c r="E302" s="549">
        <v>34492</v>
      </c>
      <c r="F302" s="550">
        <v>34298</v>
      </c>
      <c r="G302" s="549">
        <f t="shared" si="16"/>
        <v>105926</v>
      </c>
      <c r="H302" s="550">
        <v>38767</v>
      </c>
      <c r="I302" s="549">
        <v>32614</v>
      </c>
      <c r="J302" s="550">
        <v>32978</v>
      </c>
      <c r="K302" s="550">
        <f t="shared" si="17"/>
        <v>104359</v>
      </c>
      <c r="L302" s="549">
        <v>0</v>
      </c>
      <c r="M302" s="550">
        <v>0</v>
      </c>
      <c r="N302" s="549">
        <v>0</v>
      </c>
      <c r="O302" s="518">
        <f t="shared" si="18"/>
        <v>0</v>
      </c>
      <c r="P302" s="549">
        <v>112294</v>
      </c>
      <c r="Q302" s="550">
        <v>1254</v>
      </c>
      <c r="R302" s="549">
        <v>106980</v>
      </c>
      <c r="S302" s="550">
        <v>108234</v>
      </c>
      <c r="T302" s="556">
        <v>96.38</v>
      </c>
      <c r="U302" s="550">
        <v>3890</v>
      </c>
      <c r="V302" s="549">
        <v>1232</v>
      </c>
      <c r="W302" s="550">
        <v>112102</v>
      </c>
      <c r="X302" s="549">
        <v>12673</v>
      </c>
      <c r="Y302" s="550">
        <v>0</v>
      </c>
      <c r="Z302" s="549">
        <v>119023</v>
      </c>
      <c r="AA302" s="550">
        <v>1121</v>
      </c>
      <c r="AB302" s="549">
        <v>115822</v>
      </c>
      <c r="AC302" s="550">
        <v>116943</v>
      </c>
      <c r="AD302" s="556">
        <v>98.25</v>
      </c>
      <c r="AE302" s="550">
        <v>-2158</v>
      </c>
      <c r="AF302" s="549">
        <v>736</v>
      </c>
      <c r="AG302" s="550">
        <v>114400</v>
      </c>
      <c r="AH302" s="549">
        <v>12396</v>
      </c>
      <c r="AI302" s="550">
        <v>128037081.45</v>
      </c>
      <c r="AJ302" s="549">
        <v>105254.8</v>
      </c>
      <c r="AK302" s="550">
        <v>0</v>
      </c>
      <c r="AL302" s="549">
        <v>1341.44</v>
      </c>
      <c r="AM302" s="473">
        <f t="shared" si="19"/>
        <v>141192.99891200001</v>
      </c>
      <c r="AN302" s="141"/>
      <c r="AO302" s="566"/>
      <c r="AP302" s="567"/>
    </row>
    <row r="303" spans="1:42">
      <c r="A303" s="471">
        <v>292</v>
      </c>
      <c r="B303" s="481" t="s">
        <v>619</v>
      </c>
      <c r="C303" s="472" t="s">
        <v>620</v>
      </c>
      <c r="D303" s="550">
        <v>26387</v>
      </c>
      <c r="E303" s="549">
        <v>26297</v>
      </c>
      <c r="F303" s="550">
        <v>26055</v>
      </c>
      <c r="G303" s="549">
        <f t="shared" si="16"/>
        <v>78739</v>
      </c>
      <c r="H303" s="550">
        <v>20835</v>
      </c>
      <c r="I303" s="549">
        <v>21341</v>
      </c>
      <c r="J303" s="550">
        <v>18207</v>
      </c>
      <c r="K303" s="550">
        <f t="shared" si="17"/>
        <v>60383</v>
      </c>
      <c r="L303" s="549">
        <v>0</v>
      </c>
      <c r="M303" s="550">
        <v>0</v>
      </c>
      <c r="N303" s="549">
        <v>0</v>
      </c>
      <c r="O303" s="518">
        <f t="shared" si="18"/>
        <v>0</v>
      </c>
      <c r="P303" s="549">
        <v>92585</v>
      </c>
      <c r="Q303" s="550">
        <v>1107</v>
      </c>
      <c r="R303" s="549">
        <v>88107</v>
      </c>
      <c r="S303" s="550">
        <v>89214</v>
      </c>
      <c r="T303" s="556">
        <v>96.36</v>
      </c>
      <c r="U303" s="550">
        <v>1966</v>
      </c>
      <c r="V303" s="549">
        <v>921</v>
      </c>
      <c r="W303" s="550">
        <v>90994</v>
      </c>
      <c r="X303" s="549">
        <v>14860</v>
      </c>
      <c r="Y303" s="550">
        <v>0</v>
      </c>
      <c r="Z303" s="549">
        <v>69177</v>
      </c>
      <c r="AA303" s="550">
        <v>931</v>
      </c>
      <c r="AB303" s="549">
        <v>65899</v>
      </c>
      <c r="AC303" s="550">
        <v>66830</v>
      </c>
      <c r="AD303" s="556">
        <v>96.61</v>
      </c>
      <c r="AE303" s="550">
        <v>-877</v>
      </c>
      <c r="AF303" s="549">
        <v>588</v>
      </c>
      <c r="AG303" s="550">
        <v>65610</v>
      </c>
      <c r="AH303" s="549">
        <v>6397</v>
      </c>
      <c r="AI303" s="550">
        <v>72509628.519999996</v>
      </c>
      <c r="AJ303" s="549">
        <v>80465.710000000006</v>
      </c>
      <c r="AK303" s="550">
        <v>0</v>
      </c>
      <c r="AL303" s="549">
        <v>1565.51</v>
      </c>
      <c r="AM303" s="473">
        <f t="shared" si="19"/>
        <v>125969.8736621</v>
      </c>
      <c r="AN303" s="141"/>
      <c r="AO303" s="566"/>
      <c r="AP303" s="567"/>
    </row>
    <row r="304" spans="1:42">
      <c r="A304" s="471">
        <v>293</v>
      </c>
      <c r="B304" s="481" t="s">
        <v>621</v>
      </c>
      <c r="C304" s="472" t="s">
        <v>622</v>
      </c>
      <c r="D304" s="550">
        <v>26995</v>
      </c>
      <c r="E304" s="549">
        <v>26091</v>
      </c>
      <c r="F304" s="550">
        <v>26053</v>
      </c>
      <c r="G304" s="549">
        <f t="shared" si="16"/>
        <v>79139</v>
      </c>
      <c r="H304" s="550">
        <v>16283</v>
      </c>
      <c r="I304" s="549">
        <v>15664</v>
      </c>
      <c r="J304" s="550">
        <v>14522</v>
      </c>
      <c r="K304" s="550">
        <f t="shared" si="17"/>
        <v>46469</v>
      </c>
      <c r="L304" s="549">
        <v>0</v>
      </c>
      <c r="M304" s="550">
        <v>0</v>
      </c>
      <c r="N304" s="549">
        <v>0</v>
      </c>
      <c r="O304" s="518">
        <f t="shared" si="18"/>
        <v>0</v>
      </c>
      <c r="P304" s="549">
        <v>91046</v>
      </c>
      <c r="Q304" s="550">
        <v>1647</v>
      </c>
      <c r="R304" s="549">
        <v>85220</v>
      </c>
      <c r="S304" s="550">
        <v>86867</v>
      </c>
      <c r="T304" s="556">
        <v>95.41</v>
      </c>
      <c r="U304" s="550">
        <v>1817</v>
      </c>
      <c r="V304" s="549">
        <v>1177</v>
      </c>
      <c r="W304" s="550">
        <v>88214</v>
      </c>
      <c r="X304" s="549">
        <v>13502</v>
      </c>
      <c r="Y304" s="550">
        <v>0</v>
      </c>
      <c r="Z304" s="549">
        <v>55421</v>
      </c>
      <c r="AA304" s="550">
        <v>545</v>
      </c>
      <c r="AB304" s="549">
        <v>52381</v>
      </c>
      <c r="AC304" s="550">
        <v>52926</v>
      </c>
      <c r="AD304" s="556">
        <v>95.5</v>
      </c>
      <c r="AE304" s="550">
        <v>-1097</v>
      </c>
      <c r="AF304" s="549">
        <v>611</v>
      </c>
      <c r="AG304" s="550">
        <v>51895</v>
      </c>
      <c r="AH304" s="549">
        <v>5869</v>
      </c>
      <c r="AI304" s="550">
        <v>58175829.950000003</v>
      </c>
      <c r="AJ304" s="549">
        <v>81857</v>
      </c>
      <c r="AK304" s="550">
        <v>0</v>
      </c>
      <c r="AL304" s="549">
        <v>1455.21</v>
      </c>
      <c r="AM304" s="473">
        <f t="shared" si="19"/>
        <v>119119.12497</v>
      </c>
      <c r="AN304" s="141"/>
      <c r="AO304" s="566"/>
      <c r="AP304" s="567"/>
    </row>
    <row r="305" spans="1:42">
      <c r="A305" s="471">
        <v>294</v>
      </c>
      <c r="B305" s="481" t="s">
        <v>623</v>
      </c>
      <c r="C305" s="472" t="s">
        <v>624</v>
      </c>
      <c r="D305" s="550">
        <v>24529</v>
      </c>
      <c r="E305" s="549">
        <v>22133</v>
      </c>
      <c r="F305" s="550">
        <v>23065</v>
      </c>
      <c r="G305" s="549">
        <f t="shared" si="16"/>
        <v>69727</v>
      </c>
      <c r="H305" s="550">
        <v>34609</v>
      </c>
      <c r="I305" s="549">
        <v>29715</v>
      </c>
      <c r="J305" s="550">
        <v>29188</v>
      </c>
      <c r="K305" s="550">
        <f t="shared" si="17"/>
        <v>93512</v>
      </c>
      <c r="L305" s="549">
        <v>0</v>
      </c>
      <c r="M305" s="550">
        <v>0</v>
      </c>
      <c r="N305" s="549">
        <v>0</v>
      </c>
      <c r="O305" s="518">
        <f t="shared" si="18"/>
        <v>0</v>
      </c>
      <c r="P305" s="549">
        <v>80261</v>
      </c>
      <c r="Q305" s="550">
        <v>2083</v>
      </c>
      <c r="R305" s="549">
        <v>76625</v>
      </c>
      <c r="S305" s="550">
        <v>78708</v>
      </c>
      <c r="T305" s="556">
        <v>98.07</v>
      </c>
      <c r="U305" s="550">
        <v>886</v>
      </c>
      <c r="V305" s="549">
        <v>2023</v>
      </c>
      <c r="W305" s="550">
        <v>79534</v>
      </c>
      <c r="X305" s="549">
        <v>13275</v>
      </c>
      <c r="Y305" s="550">
        <v>0</v>
      </c>
      <c r="Z305" s="549">
        <v>103930</v>
      </c>
      <c r="AA305" s="550">
        <v>258</v>
      </c>
      <c r="AB305" s="549">
        <v>102019</v>
      </c>
      <c r="AC305" s="550">
        <v>102277</v>
      </c>
      <c r="AD305" s="556">
        <v>98.41</v>
      </c>
      <c r="AE305" s="550">
        <v>532</v>
      </c>
      <c r="AF305" s="549">
        <v>794</v>
      </c>
      <c r="AG305" s="550">
        <v>103345</v>
      </c>
      <c r="AH305" s="549">
        <v>14329</v>
      </c>
      <c r="AI305" s="550">
        <v>104936526.31999999</v>
      </c>
      <c r="AJ305" s="549">
        <v>134813</v>
      </c>
      <c r="AK305" s="550">
        <v>124</v>
      </c>
      <c r="AL305" s="549">
        <v>691.54</v>
      </c>
      <c r="AM305" s="473">
        <f t="shared" si="19"/>
        <v>93314.332979999992</v>
      </c>
      <c r="AN305" s="141"/>
      <c r="AO305" s="566"/>
      <c r="AP305" s="567"/>
    </row>
    <row r="306" spans="1:42">
      <c r="A306" s="471">
        <v>295</v>
      </c>
      <c r="B306" s="481" t="s">
        <v>625</v>
      </c>
      <c r="C306" s="472" t="s">
        <v>626</v>
      </c>
      <c r="D306" s="550">
        <v>24399</v>
      </c>
      <c r="E306" s="549">
        <v>23718</v>
      </c>
      <c r="F306" s="550">
        <v>24162</v>
      </c>
      <c r="G306" s="549">
        <f t="shared" si="16"/>
        <v>72279</v>
      </c>
      <c r="H306" s="550">
        <v>33575</v>
      </c>
      <c r="I306" s="549">
        <v>27414</v>
      </c>
      <c r="J306" s="550">
        <v>28038</v>
      </c>
      <c r="K306" s="550">
        <f t="shared" si="17"/>
        <v>89027</v>
      </c>
      <c r="L306" s="549">
        <v>0</v>
      </c>
      <c r="M306" s="550">
        <v>0</v>
      </c>
      <c r="N306" s="549">
        <v>0</v>
      </c>
      <c r="O306" s="518">
        <f t="shared" si="18"/>
        <v>0</v>
      </c>
      <c r="P306" s="549">
        <v>85011</v>
      </c>
      <c r="Q306" s="550">
        <v>448</v>
      </c>
      <c r="R306" s="549">
        <v>82370</v>
      </c>
      <c r="S306" s="550">
        <v>82818</v>
      </c>
      <c r="T306" s="556">
        <v>97.42</v>
      </c>
      <c r="U306" s="550">
        <v>1285</v>
      </c>
      <c r="V306" s="549">
        <v>490</v>
      </c>
      <c r="W306" s="550">
        <v>84145</v>
      </c>
      <c r="X306" s="549">
        <v>13874</v>
      </c>
      <c r="Y306" s="550">
        <v>0</v>
      </c>
      <c r="Z306" s="549">
        <v>103200</v>
      </c>
      <c r="AA306" s="550">
        <v>1071</v>
      </c>
      <c r="AB306" s="549">
        <v>98489</v>
      </c>
      <c r="AC306" s="550">
        <v>99560</v>
      </c>
      <c r="AD306" s="556">
        <v>96.47</v>
      </c>
      <c r="AE306" s="550">
        <v>-4160</v>
      </c>
      <c r="AF306" s="549">
        <v>257</v>
      </c>
      <c r="AG306" s="550">
        <v>94586</v>
      </c>
      <c r="AH306" s="549">
        <v>9645</v>
      </c>
      <c r="AI306" s="550">
        <v>109659773.17</v>
      </c>
      <c r="AJ306" s="549">
        <v>71730.3</v>
      </c>
      <c r="AK306" s="550">
        <v>0</v>
      </c>
      <c r="AL306" s="549">
        <v>1402.02</v>
      </c>
      <c r="AM306" s="473">
        <f t="shared" si="19"/>
        <v>100567.315206</v>
      </c>
      <c r="AN306" s="141"/>
      <c r="AO306" s="566"/>
      <c r="AP306" s="567"/>
    </row>
    <row r="307" spans="1:42">
      <c r="A307" s="471">
        <v>296</v>
      </c>
      <c r="B307" s="481" t="s">
        <v>627</v>
      </c>
      <c r="C307" s="472" t="s">
        <v>628</v>
      </c>
      <c r="D307" s="550">
        <v>21685</v>
      </c>
      <c r="E307" s="549">
        <v>21092</v>
      </c>
      <c r="F307" s="550">
        <v>21606</v>
      </c>
      <c r="G307" s="549">
        <f t="shared" si="16"/>
        <v>64383</v>
      </c>
      <c r="H307" s="550">
        <v>19408</v>
      </c>
      <c r="I307" s="549">
        <v>18893</v>
      </c>
      <c r="J307" s="550">
        <v>20346</v>
      </c>
      <c r="K307" s="550">
        <f t="shared" si="17"/>
        <v>58647</v>
      </c>
      <c r="L307" s="549">
        <v>0</v>
      </c>
      <c r="M307" s="550">
        <v>0</v>
      </c>
      <c r="N307" s="549">
        <v>0</v>
      </c>
      <c r="O307" s="518">
        <f t="shared" si="18"/>
        <v>0</v>
      </c>
      <c r="P307" s="549">
        <v>72829</v>
      </c>
      <c r="Q307" s="550">
        <v>475</v>
      </c>
      <c r="R307" s="549">
        <v>71372</v>
      </c>
      <c r="S307" s="550">
        <v>71847</v>
      </c>
      <c r="T307" s="556">
        <v>98.65</v>
      </c>
      <c r="U307" s="550">
        <v>1129</v>
      </c>
      <c r="V307" s="549">
        <v>476</v>
      </c>
      <c r="W307" s="550">
        <v>72977</v>
      </c>
      <c r="X307" s="549">
        <v>9652</v>
      </c>
      <c r="Y307" s="550">
        <v>0</v>
      </c>
      <c r="Z307" s="549">
        <v>64738</v>
      </c>
      <c r="AA307" s="550">
        <v>579</v>
      </c>
      <c r="AB307" s="549">
        <v>63198</v>
      </c>
      <c r="AC307" s="550">
        <v>63777</v>
      </c>
      <c r="AD307" s="556">
        <v>98.52</v>
      </c>
      <c r="AE307" s="550">
        <v>-470</v>
      </c>
      <c r="AF307" s="549">
        <v>421</v>
      </c>
      <c r="AG307" s="550">
        <v>63149</v>
      </c>
      <c r="AH307" s="549">
        <v>7872</v>
      </c>
      <c r="AI307" s="550">
        <v>67504624.329999998</v>
      </c>
      <c r="AJ307" s="549">
        <v>53969.919999999998</v>
      </c>
      <c r="AK307" s="550">
        <v>0</v>
      </c>
      <c r="AL307" s="549">
        <v>1506.2</v>
      </c>
      <c r="AM307" s="473">
        <f t="shared" si="19"/>
        <v>81289.493503999998</v>
      </c>
      <c r="AN307" s="141"/>
      <c r="AO307" s="566"/>
      <c r="AP307" s="567"/>
    </row>
    <row r="308" spans="1:42">
      <c r="A308" s="471">
        <v>297</v>
      </c>
      <c r="B308" s="481" t="s">
        <v>629</v>
      </c>
      <c r="C308" s="472" t="s">
        <v>630</v>
      </c>
      <c r="D308" s="550">
        <v>12971</v>
      </c>
      <c r="E308" s="549">
        <v>12804</v>
      </c>
      <c r="F308" s="550">
        <v>12931</v>
      </c>
      <c r="G308" s="549">
        <f t="shared" si="16"/>
        <v>38706</v>
      </c>
      <c r="H308" s="550">
        <v>20295</v>
      </c>
      <c r="I308" s="549">
        <v>17656</v>
      </c>
      <c r="J308" s="550">
        <v>17243</v>
      </c>
      <c r="K308" s="550">
        <f t="shared" si="17"/>
        <v>55194</v>
      </c>
      <c r="L308" s="549">
        <v>0</v>
      </c>
      <c r="M308" s="550">
        <v>0</v>
      </c>
      <c r="N308" s="549">
        <v>0</v>
      </c>
      <c r="O308" s="518">
        <f t="shared" si="18"/>
        <v>0</v>
      </c>
      <c r="P308" s="549">
        <v>45268</v>
      </c>
      <c r="Q308" s="550">
        <v>485</v>
      </c>
      <c r="R308" s="549">
        <v>42712</v>
      </c>
      <c r="S308" s="550">
        <v>43197</v>
      </c>
      <c r="T308" s="556">
        <v>95.43</v>
      </c>
      <c r="U308" s="550">
        <v>1183</v>
      </c>
      <c r="V308" s="549">
        <v>558</v>
      </c>
      <c r="W308" s="550">
        <v>44453</v>
      </c>
      <c r="X308" s="549">
        <v>7384</v>
      </c>
      <c r="Y308" s="550">
        <v>0</v>
      </c>
      <c r="Z308" s="549">
        <v>66780</v>
      </c>
      <c r="AA308" s="550">
        <v>933</v>
      </c>
      <c r="AB308" s="549">
        <v>64132</v>
      </c>
      <c r="AC308" s="550">
        <v>65065</v>
      </c>
      <c r="AD308" s="556">
        <v>97.43</v>
      </c>
      <c r="AE308" s="550">
        <v>-321</v>
      </c>
      <c r="AF308" s="549">
        <v>865</v>
      </c>
      <c r="AG308" s="550">
        <v>64676</v>
      </c>
      <c r="AH308" s="549">
        <v>7905</v>
      </c>
      <c r="AI308" s="550">
        <v>72790227.569999993</v>
      </c>
      <c r="AJ308" s="549">
        <v>33980</v>
      </c>
      <c r="AK308" s="550">
        <v>0</v>
      </c>
      <c r="AL308" s="549">
        <v>1516.49</v>
      </c>
      <c r="AM308" s="473">
        <f t="shared" si="19"/>
        <v>51530.330200000004</v>
      </c>
      <c r="AN308" s="141"/>
      <c r="AO308" s="566"/>
      <c r="AP308" s="567"/>
    </row>
    <row r="309" spans="1:42">
      <c r="A309" s="471">
        <v>298</v>
      </c>
      <c r="B309" s="481" t="s">
        <v>631</v>
      </c>
      <c r="C309" s="472" t="s">
        <v>632</v>
      </c>
      <c r="D309" s="550">
        <v>13809</v>
      </c>
      <c r="E309" s="549">
        <v>13298</v>
      </c>
      <c r="F309" s="550">
        <v>13768</v>
      </c>
      <c r="G309" s="549">
        <f t="shared" si="16"/>
        <v>40875</v>
      </c>
      <c r="H309" s="550">
        <v>8080</v>
      </c>
      <c r="I309" s="549">
        <v>8705</v>
      </c>
      <c r="J309" s="550">
        <v>7314</v>
      </c>
      <c r="K309" s="550">
        <f t="shared" si="17"/>
        <v>24099</v>
      </c>
      <c r="L309" s="549">
        <v>0</v>
      </c>
      <c r="M309" s="550">
        <v>0</v>
      </c>
      <c r="N309" s="549">
        <v>0</v>
      </c>
      <c r="O309" s="518">
        <f t="shared" si="18"/>
        <v>0</v>
      </c>
      <c r="P309" s="549">
        <v>48864</v>
      </c>
      <c r="Q309" s="550">
        <v>837</v>
      </c>
      <c r="R309" s="549">
        <v>46412</v>
      </c>
      <c r="S309" s="550">
        <v>47249</v>
      </c>
      <c r="T309" s="556">
        <v>96.69</v>
      </c>
      <c r="U309" s="550">
        <v>920</v>
      </c>
      <c r="V309" s="549">
        <v>888</v>
      </c>
      <c r="W309" s="550">
        <v>48220</v>
      </c>
      <c r="X309" s="549">
        <v>8079</v>
      </c>
      <c r="Y309" s="550">
        <v>0</v>
      </c>
      <c r="Z309" s="549">
        <v>26320</v>
      </c>
      <c r="AA309" s="550">
        <v>268</v>
      </c>
      <c r="AB309" s="549">
        <v>25479</v>
      </c>
      <c r="AC309" s="550">
        <v>25747</v>
      </c>
      <c r="AD309" s="556">
        <v>97.82</v>
      </c>
      <c r="AE309" s="550">
        <v>-443</v>
      </c>
      <c r="AF309" s="549">
        <v>131</v>
      </c>
      <c r="AG309" s="550">
        <v>25167</v>
      </c>
      <c r="AH309" s="549">
        <v>2952</v>
      </c>
      <c r="AI309" s="550">
        <v>27675293.440000001</v>
      </c>
      <c r="AJ309" s="549">
        <v>40643.050000000003</v>
      </c>
      <c r="AK309" s="550">
        <v>0</v>
      </c>
      <c r="AL309" s="549">
        <v>1456.97</v>
      </c>
      <c r="AM309" s="473">
        <f t="shared" si="19"/>
        <v>59215.704558500009</v>
      </c>
      <c r="AN309" s="141"/>
      <c r="AO309" s="566"/>
      <c r="AP309" s="567"/>
    </row>
    <row r="310" spans="1:42">
      <c r="A310" s="471">
        <v>299</v>
      </c>
      <c r="B310" s="481" t="s">
        <v>633</v>
      </c>
      <c r="C310" s="472" t="s">
        <v>634</v>
      </c>
      <c r="D310" s="550">
        <v>24686</v>
      </c>
      <c r="E310" s="549">
        <v>24345</v>
      </c>
      <c r="F310" s="550">
        <v>23937</v>
      </c>
      <c r="G310" s="549">
        <f t="shared" si="16"/>
        <v>72968</v>
      </c>
      <c r="H310" s="550">
        <v>11533</v>
      </c>
      <c r="I310" s="549">
        <v>10481</v>
      </c>
      <c r="J310" s="550">
        <v>9955</v>
      </c>
      <c r="K310" s="550">
        <f t="shared" si="17"/>
        <v>31969</v>
      </c>
      <c r="L310" s="549">
        <v>0</v>
      </c>
      <c r="M310" s="550">
        <v>0</v>
      </c>
      <c r="N310" s="549">
        <v>0</v>
      </c>
      <c r="O310" s="518">
        <f t="shared" si="18"/>
        <v>0</v>
      </c>
      <c r="P310" s="549">
        <v>80463</v>
      </c>
      <c r="Q310" s="550">
        <v>1301</v>
      </c>
      <c r="R310" s="549">
        <v>78522</v>
      </c>
      <c r="S310" s="550">
        <v>79823</v>
      </c>
      <c r="T310" s="556">
        <v>99.2</v>
      </c>
      <c r="U310" s="550">
        <v>496</v>
      </c>
      <c r="V310" s="549">
        <v>1337</v>
      </c>
      <c r="W310" s="550">
        <v>80355</v>
      </c>
      <c r="X310" s="549">
        <v>10101</v>
      </c>
      <c r="Y310" s="550">
        <v>0</v>
      </c>
      <c r="Z310" s="549">
        <v>35696</v>
      </c>
      <c r="AA310" s="550">
        <v>662</v>
      </c>
      <c r="AB310" s="549">
        <v>34750</v>
      </c>
      <c r="AC310" s="550">
        <v>35412</v>
      </c>
      <c r="AD310" s="556">
        <v>99.2</v>
      </c>
      <c r="AE310" s="550">
        <v>-116</v>
      </c>
      <c r="AF310" s="549">
        <v>498</v>
      </c>
      <c r="AG310" s="550">
        <v>35132</v>
      </c>
      <c r="AH310" s="549">
        <v>4071</v>
      </c>
      <c r="AI310" s="550">
        <v>37172105.109999999</v>
      </c>
      <c r="AJ310" s="549">
        <v>55498.1</v>
      </c>
      <c r="AK310" s="550">
        <v>0</v>
      </c>
      <c r="AL310" s="549">
        <v>1588.71</v>
      </c>
      <c r="AM310" s="473">
        <f t="shared" si="19"/>
        <v>88170.386450999998</v>
      </c>
      <c r="AN310" s="141"/>
      <c r="AO310" s="566"/>
      <c r="AP310" s="567"/>
    </row>
    <row r="311" spans="1:42">
      <c r="A311" s="471">
        <v>300</v>
      </c>
      <c r="B311" s="481" t="s">
        <v>635</v>
      </c>
      <c r="C311" s="472" t="s">
        <v>636</v>
      </c>
      <c r="D311" s="550">
        <v>28847</v>
      </c>
      <c r="E311" s="549">
        <v>28106</v>
      </c>
      <c r="F311" s="550">
        <v>27870</v>
      </c>
      <c r="G311" s="549">
        <f t="shared" si="16"/>
        <v>84823</v>
      </c>
      <c r="H311" s="550">
        <v>9578</v>
      </c>
      <c r="I311" s="549">
        <v>7482</v>
      </c>
      <c r="J311" s="550">
        <v>8461</v>
      </c>
      <c r="K311" s="550">
        <f t="shared" si="17"/>
        <v>25521</v>
      </c>
      <c r="L311" s="549">
        <v>0</v>
      </c>
      <c r="M311" s="550">
        <v>0</v>
      </c>
      <c r="N311" s="549">
        <v>0</v>
      </c>
      <c r="O311" s="518">
        <f t="shared" si="18"/>
        <v>0</v>
      </c>
      <c r="P311" s="549">
        <v>95702</v>
      </c>
      <c r="Q311" s="550">
        <v>1096</v>
      </c>
      <c r="R311" s="549">
        <v>92679</v>
      </c>
      <c r="S311" s="550">
        <v>93775</v>
      </c>
      <c r="T311" s="556">
        <v>97.99</v>
      </c>
      <c r="U311" s="550">
        <v>1278</v>
      </c>
      <c r="V311" s="549">
        <v>1092</v>
      </c>
      <c r="W311" s="550">
        <v>95049</v>
      </c>
      <c r="X311" s="549">
        <v>12136</v>
      </c>
      <c r="Y311" s="550">
        <v>0</v>
      </c>
      <c r="Z311" s="549">
        <v>28621</v>
      </c>
      <c r="AA311" s="550">
        <v>165</v>
      </c>
      <c r="AB311" s="549">
        <v>27607</v>
      </c>
      <c r="AC311" s="550">
        <v>27772</v>
      </c>
      <c r="AD311" s="556">
        <v>97.03</v>
      </c>
      <c r="AE311" s="550">
        <v>-338</v>
      </c>
      <c r="AF311" s="549">
        <v>235</v>
      </c>
      <c r="AG311" s="550">
        <v>27504</v>
      </c>
      <c r="AH311" s="549">
        <v>2674</v>
      </c>
      <c r="AI311" s="550">
        <v>29775105.899999999</v>
      </c>
      <c r="AJ311" s="549">
        <v>66022.100000000006</v>
      </c>
      <c r="AK311" s="550">
        <v>0</v>
      </c>
      <c r="AL311" s="549">
        <v>1634.61</v>
      </c>
      <c r="AM311" s="473">
        <f t="shared" si="19"/>
        <v>107920.38488099999</v>
      </c>
      <c r="AN311" s="141"/>
      <c r="AO311" s="566"/>
      <c r="AP311" s="567"/>
    </row>
    <row r="312" spans="1:42">
      <c r="A312" s="471">
        <v>301</v>
      </c>
      <c r="B312" s="481" t="s">
        <v>637</v>
      </c>
      <c r="C312" s="472" t="s">
        <v>638</v>
      </c>
      <c r="D312" s="550">
        <v>10278</v>
      </c>
      <c r="E312" s="549">
        <v>8845</v>
      </c>
      <c r="F312" s="550">
        <v>8457</v>
      </c>
      <c r="G312" s="549">
        <f t="shared" si="16"/>
        <v>27580</v>
      </c>
      <c r="H312" s="550">
        <v>8501</v>
      </c>
      <c r="I312" s="549">
        <v>8071</v>
      </c>
      <c r="J312" s="550">
        <v>8447</v>
      </c>
      <c r="K312" s="550">
        <f t="shared" si="17"/>
        <v>25019</v>
      </c>
      <c r="L312" s="549">
        <v>0</v>
      </c>
      <c r="M312" s="550">
        <v>0</v>
      </c>
      <c r="N312" s="549">
        <v>0</v>
      </c>
      <c r="O312" s="518">
        <f t="shared" si="18"/>
        <v>0</v>
      </c>
      <c r="P312" s="549">
        <v>29397</v>
      </c>
      <c r="Q312" s="550">
        <v>557</v>
      </c>
      <c r="R312" s="549">
        <v>28207</v>
      </c>
      <c r="S312" s="550">
        <v>28764</v>
      </c>
      <c r="T312" s="556">
        <v>97.85</v>
      </c>
      <c r="U312" s="550">
        <v>1386</v>
      </c>
      <c r="V312" s="549">
        <v>574</v>
      </c>
      <c r="W312" s="550">
        <v>30167</v>
      </c>
      <c r="X312" s="549">
        <v>2915</v>
      </c>
      <c r="Y312" s="550">
        <v>0</v>
      </c>
      <c r="Z312" s="549">
        <v>28305</v>
      </c>
      <c r="AA312" s="550">
        <v>477</v>
      </c>
      <c r="AB312" s="549">
        <v>27677</v>
      </c>
      <c r="AC312" s="550">
        <v>28154</v>
      </c>
      <c r="AD312" s="556">
        <v>99.47</v>
      </c>
      <c r="AE312" s="550">
        <v>-309</v>
      </c>
      <c r="AF312" s="549">
        <v>229</v>
      </c>
      <c r="AG312" s="550">
        <v>27597</v>
      </c>
      <c r="AH312" s="549">
        <v>2868</v>
      </c>
      <c r="AI312" s="550">
        <v>29622901.439999998</v>
      </c>
      <c r="AJ312" s="549">
        <v>25132.7</v>
      </c>
      <c r="AK312" s="550">
        <v>0</v>
      </c>
      <c r="AL312" s="549">
        <v>1369.72</v>
      </c>
      <c r="AM312" s="473">
        <f t="shared" si="19"/>
        <v>34424.761844000008</v>
      </c>
      <c r="AN312" s="141"/>
      <c r="AO312" s="566"/>
      <c r="AP312" s="567"/>
    </row>
    <row r="313" spans="1:42">
      <c r="A313" s="471">
        <v>302</v>
      </c>
      <c r="B313" s="481" t="s">
        <v>639</v>
      </c>
      <c r="C313" s="472" t="s">
        <v>640</v>
      </c>
      <c r="D313" s="550">
        <v>16890</v>
      </c>
      <c r="E313" s="549">
        <v>16454</v>
      </c>
      <c r="F313" s="550">
        <v>16564</v>
      </c>
      <c r="G313" s="549">
        <f t="shared" si="16"/>
        <v>49908</v>
      </c>
      <c r="H313" s="550">
        <v>18952</v>
      </c>
      <c r="I313" s="549">
        <v>15990</v>
      </c>
      <c r="J313" s="550">
        <v>15784</v>
      </c>
      <c r="K313" s="550">
        <f t="shared" si="17"/>
        <v>50726</v>
      </c>
      <c r="L313" s="549">
        <v>0</v>
      </c>
      <c r="M313" s="550">
        <v>0</v>
      </c>
      <c r="N313" s="549">
        <v>0</v>
      </c>
      <c r="O313" s="518">
        <f t="shared" si="18"/>
        <v>0</v>
      </c>
      <c r="P313" s="549">
        <v>56322</v>
      </c>
      <c r="Q313" s="550">
        <v>523</v>
      </c>
      <c r="R313" s="549">
        <v>54636</v>
      </c>
      <c r="S313" s="550">
        <v>55159</v>
      </c>
      <c r="T313" s="556">
        <v>97.94</v>
      </c>
      <c r="U313" s="550">
        <v>492</v>
      </c>
      <c r="V313" s="549">
        <v>548</v>
      </c>
      <c r="W313" s="550">
        <v>55676</v>
      </c>
      <c r="X313" s="549">
        <v>6862</v>
      </c>
      <c r="Y313" s="550">
        <v>0</v>
      </c>
      <c r="Z313" s="549">
        <v>56366</v>
      </c>
      <c r="AA313" s="550">
        <v>537</v>
      </c>
      <c r="AB313" s="549">
        <v>55287</v>
      </c>
      <c r="AC313" s="550">
        <v>55824</v>
      </c>
      <c r="AD313" s="556">
        <v>99.04</v>
      </c>
      <c r="AE313" s="550">
        <v>190</v>
      </c>
      <c r="AF313" s="549">
        <v>196</v>
      </c>
      <c r="AG313" s="550">
        <v>55673</v>
      </c>
      <c r="AH313" s="549">
        <v>4555</v>
      </c>
      <c r="AI313" s="550">
        <v>57451973.25</v>
      </c>
      <c r="AJ313" s="549">
        <v>42237.4</v>
      </c>
      <c r="AK313" s="550">
        <v>0</v>
      </c>
      <c r="AL313" s="549">
        <v>1500.82</v>
      </c>
      <c r="AM313" s="473">
        <f t="shared" si="19"/>
        <v>63390.734667999997</v>
      </c>
      <c r="AN313" s="141"/>
      <c r="AO313" s="566"/>
      <c r="AP313" s="567"/>
    </row>
    <row r="314" spans="1:42">
      <c r="A314" s="471">
        <v>303</v>
      </c>
      <c r="B314" s="481" t="s">
        <v>641</v>
      </c>
      <c r="C314" s="472" t="s">
        <v>642</v>
      </c>
      <c r="D314" s="550">
        <v>26313</v>
      </c>
      <c r="E314" s="549">
        <v>26659</v>
      </c>
      <c r="F314" s="550">
        <v>25854</v>
      </c>
      <c r="G314" s="549">
        <f t="shared" si="16"/>
        <v>78826</v>
      </c>
      <c r="H314" s="550">
        <v>31447</v>
      </c>
      <c r="I314" s="549">
        <v>21873</v>
      </c>
      <c r="J314" s="550">
        <v>20503</v>
      </c>
      <c r="K314" s="550">
        <f t="shared" si="17"/>
        <v>73823</v>
      </c>
      <c r="L314" s="549">
        <v>0</v>
      </c>
      <c r="M314" s="550">
        <v>0</v>
      </c>
      <c r="N314" s="549">
        <v>0</v>
      </c>
      <c r="O314" s="518">
        <f t="shared" si="18"/>
        <v>0</v>
      </c>
      <c r="P314" s="549">
        <v>87505</v>
      </c>
      <c r="Q314" s="550">
        <v>977</v>
      </c>
      <c r="R314" s="549">
        <v>85547</v>
      </c>
      <c r="S314" s="550">
        <v>86524</v>
      </c>
      <c r="T314" s="556">
        <v>98.88</v>
      </c>
      <c r="U314" s="550">
        <v>625</v>
      </c>
      <c r="V314" s="549">
        <v>862</v>
      </c>
      <c r="W314" s="550">
        <v>87034</v>
      </c>
      <c r="X314" s="549">
        <v>11539</v>
      </c>
      <c r="Y314" s="550">
        <v>0</v>
      </c>
      <c r="Z314" s="549">
        <v>82992</v>
      </c>
      <c r="AA314" s="550">
        <v>1621</v>
      </c>
      <c r="AB314" s="549">
        <v>80348</v>
      </c>
      <c r="AC314" s="550">
        <v>81969</v>
      </c>
      <c r="AD314" s="556">
        <v>98.77</v>
      </c>
      <c r="AE314" s="550">
        <v>1694</v>
      </c>
      <c r="AF314" s="549">
        <v>1509</v>
      </c>
      <c r="AG314" s="550">
        <v>83551</v>
      </c>
      <c r="AH314" s="549">
        <v>10617</v>
      </c>
      <c r="AI314" s="550">
        <v>83259353.219999999</v>
      </c>
      <c r="AJ314" s="549">
        <v>64641.3</v>
      </c>
      <c r="AK314" s="550">
        <v>0</v>
      </c>
      <c r="AL314" s="549">
        <v>1537.6</v>
      </c>
      <c r="AM314" s="473">
        <f t="shared" si="19"/>
        <v>99392.462879999992</v>
      </c>
      <c r="AN314" s="141"/>
      <c r="AO314" s="566"/>
      <c r="AP314" s="567"/>
    </row>
    <row r="315" spans="1:42">
      <c r="A315" s="471">
        <v>304</v>
      </c>
      <c r="B315" s="481" t="s">
        <v>643</v>
      </c>
      <c r="C315" s="472" t="s">
        <v>644</v>
      </c>
      <c r="D315" s="550">
        <v>9791</v>
      </c>
      <c r="E315" s="549">
        <v>8466</v>
      </c>
      <c r="F315" s="550">
        <v>8879</v>
      </c>
      <c r="G315" s="549">
        <f t="shared" si="16"/>
        <v>27136</v>
      </c>
      <c r="H315" s="550">
        <v>3914</v>
      </c>
      <c r="I315" s="549">
        <v>2883</v>
      </c>
      <c r="J315" s="550">
        <v>2836</v>
      </c>
      <c r="K315" s="550">
        <f t="shared" si="17"/>
        <v>9633</v>
      </c>
      <c r="L315" s="549">
        <v>0</v>
      </c>
      <c r="M315" s="550">
        <v>0</v>
      </c>
      <c r="N315" s="549">
        <v>0</v>
      </c>
      <c r="O315" s="518">
        <f t="shared" si="18"/>
        <v>0</v>
      </c>
      <c r="P315" s="549">
        <v>30218</v>
      </c>
      <c r="Q315" s="550">
        <v>511</v>
      </c>
      <c r="R315" s="549">
        <v>28861</v>
      </c>
      <c r="S315" s="550">
        <v>29372</v>
      </c>
      <c r="T315" s="556">
        <v>97.2</v>
      </c>
      <c r="U315" s="550">
        <v>336</v>
      </c>
      <c r="V315" s="549">
        <v>177</v>
      </c>
      <c r="W315" s="550">
        <v>29374</v>
      </c>
      <c r="X315" s="549">
        <v>3561</v>
      </c>
      <c r="Y315" s="550">
        <v>0</v>
      </c>
      <c r="Z315" s="549">
        <v>10498</v>
      </c>
      <c r="AA315" s="550">
        <v>85</v>
      </c>
      <c r="AB315" s="549">
        <v>10067</v>
      </c>
      <c r="AC315" s="550">
        <v>10152</v>
      </c>
      <c r="AD315" s="556">
        <v>96.7</v>
      </c>
      <c r="AE315" s="550">
        <v>-115</v>
      </c>
      <c r="AF315" s="549">
        <v>71</v>
      </c>
      <c r="AG315" s="550">
        <v>10023</v>
      </c>
      <c r="AH315" s="549">
        <v>1054</v>
      </c>
      <c r="AI315" s="550">
        <v>10986124.93</v>
      </c>
      <c r="AJ315" s="549">
        <v>21503.73</v>
      </c>
      <c r="AK315" s="550">
        <v>18</v>
      </c>
      <c r="AL315" s="549">
        <v>1610.98</v>
      </c>
      <c r="AM315" s="473">
        <f t="shared" si="19"/>
        <v>34671.076595400002</v>
      </c>
      <c r="AN315" s="141"/>
      <c r="AO315" s="566"/>
      <c r="AP315" s="567"/>
    </row>
    <row r="316" spans="1:42">
      <c r="A316" s="471">
        <v>305</v>
      </c>
      <c r="B316" s="481" t="s">
        <v>645</v>
      </c>
      <c r="C316" s="472" t="s">
        <v>646</v>
      </c>
      <c r="D316" s="550">
        <v>19456</v>
      </c>
      <c r="E316" s="549">
        <v>18569</v>
      </c>
      <c r="F316" s="550">
        <v>18930</v>
      </c>
      <c r="G316" s="549">
        <f t="shared" si="16"/>
        <v>56955</v>
      </c>
      <c r="H316" s="550">
        <v>9221</v>
      </c>
      <c r="I316" s="549">
        <v>8274</v>
      </c>
      <c r="J316" s="550">
        <v>8714</v>
      </c>
      <c r="K316" s="550">
        <f t="shared" si="17"/>
        <v>26209</v>
      </c>
      <c r="L316" s="549">
        <v>0</v>
      </c>
      <c r="M316" s="550">
        <v>0</v>
      </c>
      <c r="N316" s="549">
        <v>0</v>
      </c>
      <c r="O316" s="518">
        <f t="shared" si="18"/>
        <v>0</v>
      </c>
      <c r="P316" s="549">
        <v>63407</v>
      </c>
      <c r="Q316" s="550">
        <v>746</v>
      </c>
      <c r="R316" s="549">
        <v>61548</v>
      </c>
      <c r="S316" s="550">
        <v>62294</v>
      </c>
      <c r="T316" s="556">
        <v>98.24</v>
      </c>
      <c r="U316" s="550">
        <v>506</v>
      </c>
      <c r="V316" s="549">
        <v>803</v>
      </c>
      <c r="W316" s="550">
        <v>62857</v>
      </c>
      <c r="X316" s="549">
        <v>7587</v>
      </c>
      <c r="Y316" s="550">
        <v>0</v>
      </c>
      <c r="Z316" s="549">
        <v>28899</v>
      </c>
      <c r="AA316" s="550">
        <v>82</v>
      </c>
      <c r="AB316" s="549">
        <v>27763</v>
      </c>
      <c r="AC316" s="550">
        <v>27845</v>
      </c>
      <c r="AD316" s="556">
        <v>96.35</v>
      </c>
      <c r="AE316" s="550">
        <v>-211</v>
      </c>
      <c r="AF316" s="549">
        <v>500</v>
      </c>
      <c r="AG316" s="550">
        <v>28052</v>
      </c>
      <c r="AH316" s="549">
        <v>2467</v>
      </c>
      <c r="AI316" s="550">
        <v>30520126.07</v>
      </c>
      <c r="AJ316" s="549">
        <v>44133.7</v>
      </c>
      <c r="AK316" s="550">
        <v>0</v>
      </c>
      <c r="AL316" s="549">
        <v>1614.9</v>
      </c>
      <c r="AM316" s="473">
        <f t="shared" si="19"/>
        <v>71271.512129999988</v>
      </c>
      <c r="AN316" s="141"/>
      <c r="AO316" s="566"/>
      <c r="AP316" s="567"/>
    </row>
    <row r="317" spans="1:42">
      <c r="A317" s="471">
        <v>306</v>
      </c>
      <c r="B317" s="481" t="s">
        <v>647</v>
      </c>
      <c r="C317" s="472" t="s">
        <v>648</v>
      </c>
      <c r="D317" s="550">
        <v>13808</v>
      </c>
      <c r="E317" s="549">
        <v>14206</v>
      </c>
      <c r="F317" s="550">
        <v>14097</v>
      </c>
      <c r="G317" s="549">
        <f t="shared" si="16"/>
        <v>42111</v>
      </c>
      <c r="H317" s="550">
        <v>8346</v>
      </c>
      <c r="I317" s="549">
        <v>9622</v>
      </c>
      <c r="J317" s="550">
        <v>8086</v>
      </c>
      <c r="K317" s="550">
        <f t="shared" si="17"/>
        <v>26054</v>
      </c>
      <c r="L317" s="549">
        <v>0</v>
      </c>
      <c r="M317" s="550">
        <v>0</v>
      </c>
      <c r="N317" s="549">
        <v>0</v>
      </c>
      <c r="O317" s="518">
        <f t="shared" si="18"/>
        <v>0</v>
      </c>
      <c r="P317" s="549">
        <v>49481</v>
      </c>
      <c r="Q317" s="550">
        <v>805</v>
      </c>
      <c r="R317" s="549">
        <v>46891</v>
      </c>
      <c r="S317" s="550">
        <v>47696</v>
      </c>
      <c r="T317" s="556">
        <v>96.39</v>
      </c>
      <c r="U317" s="550">
        <v>224</v>
      </c>
      <c r="V317" s="549">
        <v>660</v>
      </c>
      <c r="W317" s="550">
        <v>47775</v>
      </c>
      <c r="X317" s="549">
        <v>6719</v>
      </c>
      <c r="Y317" s="550">
        <v>0</v>
      </c>
      <c r="Z317" s="549">
        <v>31100</v>
      </c>
      <c r="AA317" s="550">
        <v>1053</v>
      </c>
      <c r="AB317" s="549">
        <v>28601</v>
      </c>
      <c r="AC317" s="550">
        <v>29654</v>
      </c>
      <c r="AD317" s="556">
        <v>95.35</v>
      </c>
      <c r="AE317" s="550">
        <v>-677</v>
      </c>
      <c r="AF317" s="549">
        <v>329</v>
      </c>
      <c r="AG317" s="550">
        <v>28253</v>
      </c>
      <c r="AH317" s="549">
        <v>1927</v>
      </c>
      <c r="AI317" s="550">
        <v>32214953.629999999</v>
      </c>
      <c r="AJ317" s="549">
        <v>38836.44</v>
      </c>
      <c r="AK317" s="550">
        <v>0</v>
      </c>
      <c r="AL317" s="549">
        <v>1500.41</v>
      </c>
      <c r="AM317" s="473">
        <f t="shared" si="19"/>
        <v>58270.582940400003</v>
      </c>
      <c r="AN317" s="141"/>
      <c r="AO317" s="566"/>
      <c r="AP317" s="567"/>
    </row>
    <row r="318" spans="1:42">
      <c r="A318" s="471">
        <v>307</v>
      </c>
      <c r="B318" s="481" t="s">
        <v>649</v>
      </c>
      <c r="C318" s="472" t="s">
        <v>650</v>
      </c>
      <c r="D318" s="550">
        <v>14027</v>
      </c>
      <c r="E318" s="549">
        <v>12027</v>
      </c>
      <c r="F318" s="550">
        <v>12084</v>
      </c>
      <c r="G318" s="549">
        <f t="shared" si="16"/>
        <v>38138</v>
      </c>
      <c r="H318" s="550">
        <v>5469</v>
      </c>
      <c r="I318" s="549">
        <v>4293</v>
      </c>
      <c r="J318" s="550">
        <v>3851</v>
      </c>
      <c r="K318" s="550">
        <f t="shared" si="17"/>
        <v>13613</v>
      </c>
      <c r="L318" s="549">
        <v>0</v>
      </c>
      <c r="M318" s="550">
        <v>0</v>
      </c>
      <c r="N318" s="549">
        <v>0</v>
      </c>
      <c r="O318" s="518">
        <f t="shared" si="18"/>
        <v>0</v>
      </c>
      <c r="P318" s="549">
        <v>40478</v>
      </c>
      <c r="Q318" s="550">
        <v>384</v>
      </c>
      <c r="R318" s="549">
        <v>39556</v>
      </c>
      <c r="S318" s="550">
        <v>39940</v>
      </c>
      <c r="T318" s="556">
        <v>98.67</v>
      </c>
      <c r="U318" s="550">
        <v>709</v>
      </c>
      <c r="V318" s="549">
        <v>350</v>
      </c>
      <c r="W318" s="550">
        <v>40615</v>
      </c>
      <c r="X318" s="549">
        <v>3073</v>
      </c>
      <c r="Y318" s="550">
        <v>0</v>
      </c>
      <c r="Z318" s="549">
        <v>15591</v>
      </c>
      <c r="AA318" s="550">
        <v>389</v>
      </c>
      <c r="AB318" s="549">
        <v>15066</v>
      </c>
      <c r="AC318" s="550">
        <v>15455</v>
      </c>
      <c r="AD318" s="556">
        <v>99.13</v>
      </c>
      <c r="AE318" s="550">
        <v>194</v>
      </c>
      <c r="AF318" s="549">
        <v>217</v>
      </c>
      <c r="AG318" s="550">
        <v>15477</v>
      </c>
      <c r="AH318" s="549">
        <v>2386</v>
      </c>
      <c r="AI318" s="550">
        <v>16451116.529999999</v>
      </c>
      <c r="AJ318" s="549">
        <v>31347.599999999999</v>
      </c>
      <c r="AK318" s="550">
        <v>122.66</v>
      </c>
      <c r="AL318" s="549">
        <v>1497.7</v>
      </c>
      <c r="AM318" s="473">
        <f t="shared" si="19"/>
        <v>47133.008401999999</v>
      </c>
      <c r="AN318" s="141"/>
      <c r="AO318" s="566"/>
      <c r="AP318" s="567"/>
    </row>
    <row r="319" spans="1:42">
      <c r="A319" s="471">
        <v>308</v>
      </c>
      <c r="B319" s="481" t="s">
        <v>651</v>
      </c>
      <c r="C319" s="472" t="s">
        <v>652</v>
      </c>
      <c r="D319" s="550">
        <v>17886</v>
      </c>
      <c r="E319" s="549">
        <v>17440</v>
      </c>
      <c r="F319" s="550">
        <v>17689</v>
      </c>
      <c r="G319" s="549">
        <f t="shared" si="16"/>
        <v>53015</v>
      </c>
      <c r="H319" s="550">
        <v>13134</v>
      </c>
      <c r="I319" s="549">
        <v>8151</v>
      </c>
      <c r="J319" s="550">
        <v>8072</v>
      </c>
      <c r="K319" s="550">
        <f t="shared" si="17"/>
        <v>29357</v>
      </c>
      <c r="L319" s="549">
        <v>0</v>
      </c>
      <c r="M319" s="550">
        <v>0</v>
      </c>
      <c r="N319" s="549">
        <v>0</v>
      </c>
      <c r="O319" s="518">
        <f t="shared" si="18"/>
        <v>0</v>
      </c>
      <c r="P319" s="549">
        <v>58417</v>
      </c>
      <c r="Q319" s="550">
        <v>534</v>
      </c>
      <c r="R319" s="549">
        <v>57147</v>
      </c>
      <c r="S319" s="550">
        <v>57681</v>
      </c>
      <c r="T319" s="556">
        <v>98.74</v>
      </c>
      <c r="U319" s="550">
        <v>442</v>
      </c>
      <c r="V319" s="549">
        <v>408</v>
      </c>
      <c r="W319" s="550">
        <v>57997</v>
      </c>
      <c r="X319" s="549">
        <v>7190</v>
      </c>
      <c r="Y319" s="550">
        <v>0</v>
      </c>
      <c r="Z319" s="549">
        <v>29755</v>
      </c>
      <c r="AA319" s="550">
        <v>321</v>
      </c>
      <c r="AB319" s="549">
        <v>29052</v>
      </c>
      <c r="AC319" s="550">
        <v>29373</v>
      </c>
      <c r="AD319" s="556">
        <v>98.72</v>
      </c>
      <c r="AE319" s="550">
        <v>66</v>
      </c>
      <c r="AF319" s="549">
        <v>409</v>
      </c>
      <c r="AG319" s="550">
        <v>29527</v>
      </c>
      <c r="AH319" s="549">
        <v>3608</v>
      </c>
      <c r="AI319" s="550">
        <v>31244274.989999998</v>
      </c>
      <c r="AJ319" s="549">
        <v>43262.400000000001</v>
      </c>
      <c r="AK319" s="550">
        <v>837.05</v>
      </c>
      <c r="AL319" s="549">
        <v>1490.55</v>
      </c>
      <c r="AM319" s="473">
        <f t="shared" si="19"/>
        <v>65732.435197500003</v>
      </c>
      <c r="AN319" s="141"/>
      <c r="AO319" s="566"/>
      <c r="AP319" s="567"/>
    </row>
    <row r="320" spans="1:42">
      <c r="A320" s="471">
        <v>309</v>
      </c>
      <c r="B320" s="481" t="s">
        <v>653</v>
      </c>
      <c r="C320" s="472" t="s">
        <v>654</v>
      </c>
      <c r="D320" s="550">
        <v>5814</v>
      </c>
      <c r="E320" s="549">
        <v>5519</v>
      </c>
      <c r="F320" s="550">
        <v>5353</v>
      </c>
      <c r="G320" s="549">
        <f t="shared" si="16"/>
        <v>16686</v>
      </c>
      <c r="H320" s="550">
        <v>3626</v>
      </c>
      <c r="I320" s="549">
        <v>3388</v>
      </c>
      <c r="J320" s="550">
        <v>3270</v>
      </c>
      <c r="K320" s="550">
        <f t="shared" si="17"/>
        <v>10284</v>
      </c>
      <c r="L320" s="549">
        <v>0</v>
      </c>
      <c r="M320" s="550">
        <v>0</v>
      </c>
      <c r="N320" s="549">
        <v>0</v>
      </c>
      <c r="O320" s="518">
        <f t="shared" si="18"/>
        <v>0</v>
      </c>
      <c r="P320" s="549">
        <v>18716</v>
      </c>
      <c r="Q320" s="550">
        <v>316</v>
      </c>
      <c r="R320" s="549">
        <v>17933</v>
      </c>
      <c r="S320" s="550">
        <v>18249</v>
      </c>
      <c r="T320" s="556">
        <v>97.5</v>
      </c>
      <c r="U320" s="550">
        <v>368</v>
      </c>
      <c r="V320" s="549">
        <v>263</v>
      </c>
      <c r="W320" s="550">
        <v>18564</v>
      </c>
      <c r="X320" s="549">
        <v>2436</v>
      </c>
      <c r="Y320" s="550">
        <v>0</v>
      </c>
      <c r="Z320" s="549">
        <v>10515</v>
      </c>
      <c r="AA320" s="550">
        <v>41</v>
      </c>
      <c r="AB320" s="549">
        <v>10252</v>
      </c>
      <c r="AC320" s="550">
        <v>10293</v>
      </c>
      <c r="AD320" s="556">
        <v>97.89</v>
      </c>
      <c r="AE320" s="550">
        <v>-99</v>
      </c>
      <c r="AF320" s="549">
        <v>104</v>
      </c>
      <c r="AG320" s="550">
        <v>10257</v>
      </c>
      <c r="AH320" s="549">
        <v>1120</v>
      </c>
      <c r="AI320" s="550">
        <v>11768208.5</v>
      </c>
      <c r="AJ320" s="549">
        <v>15080.1</v>
      </c>
      <c r="AK320" s="550">
        <v>0</v>
      </c>
      <c r="AL320" s="549">
        <v>1468.46</v>
      </c>
      <c r="AM320" s="473">
        <f t="shared" si="19"/>
        <v>22144.523646000001</v>
      </c>
      <c r="AN320" s="141"/>
      <c r="AO320" s="566"/>
      <c r="AP320" s="567"/>
    </row>
    <row r="321" spans="1:42">
      <c r="A321" s="471">
        <v>310</v>
      </c>
      <c r="B321" s="481" t="s">
        <v>655</v>
      </c>
      <c r="C321" s="472" t="s">
        <v>656</v>
      </c>
      <c r="D321" s="550">
        <v>29489</v>
      </c>
      <c r="E321" s="549">
        <v>20871</v>
      </c>
      <c r="F321" s="550">
        <v>19557</v>
      </c>
      <c r="G321" s="549">
        <f t="shared" si="16"/>
        <v>69917</v>
      </c>
      <c r="H321" s="550">
        <v>691768</v>
      </c>
      <c r="I321" s="549">
        <v>471213.77</v>
      </c>
      <c r="J321" s="550">
        <v>488214</v>
      </c>
      <c r="K321" s="550">
        <f t="shared" si="17"/>
        <v>1651195.77</v>
      </c>
      <c r="L321" s="549">
        <v>0</v>
      </c>
      <c r="M321" s="550">
        <v>0</v>
      </c>
      <c r="N321" s="549">
        <v>0</v>
      </c>
      <c r="O321" s="518">
        <f t="shared" si="18"/>
        <v>0</v>
      </c>
      <c r="P321" s="549">
        <v>80799</v>
      </c>
      <c r="Q321" s="550">
        <v>5514</v>
      </c>
      <c r="R321" s="549">
        <v>72252</v>
      </c>
      <c r="S321" s="550">
        <v>77766</v>
      </c>
      <c r="T321" s="556">
        <v>96.25</v>
      </c>
      <c r="U321" s="550">
        <v>664</v>
      </c>
      <c r="V321" s="549">
        <v>4344</v>
      </c>
      <c r="W321" s="550">
        <v>77260</v>
      </c>
      <c r="X321" s="549">
        <v>11536</v>
      </c>
      <c r="Y321" s="550">
        <v>0</v>
      </c>
      <c r="Z321" s="549">
        <v>1677454</v>
      </c>
      <c r="AA321" s="550">
        <v>19763</v>
      </c>
      <c r="AB321" s="549">
        <v>1627939</v>
      </c>
      <c r="AC321" s="550">
        <v>1647702</v>
      </c>
      <c r="AD321" s="556">
        <v>98.23</v>
      </c>
      <c r="AE321" s="550">
        <v>-20823</v>
      </c>
      <c r="AF321" s="549">
        <v>60790</v>
      </c>
      <c r="AG321" s="550">
        <v>1667906</v>
      </c>
      <c r="AH321" s="549">
        <v>84458</v>
      </c>
      <c r="AI321" s="550">
        <v>1841854477.6900001</v>
      </c>
      <c r="AJ321" s="549">
        <v>135777.85</v>
      </c>
      <c r="AK321" s="550">
        <v>0</v>
      </c>
      <c r="AL321" s="549">
        <v>681.01</v>
      </c>
      <c r="AM321" s="473">
        <f t="shared" si="19"/>
        <v>92466.073628500002</v>
      </c>
      <c r="AN321" s="141"/>
      <c r="AO321" s="566"/>
      <c r="AP321" s="567"/>
    </row>
    <row r="322" spans="1:42">
      <c r="A322" s="471">
        <v>311</v>
      </c>
      <c r="B322" s="481" t="s">
        <v>657</v>
      </c>
      <c r="C322" s="472" t="s">
        <v>658</v>
      </c>
      <c r="D322" s="550">
        <v>10122</v>
      </c>
      <c r="E322" s="549">
        <v>9928</v>
      </c>
      <c r="F322" s="550">
        <v>9940</v>
      </c>
      <c r="G322" s="549">
        <f t="shared" si="16"/>
        <v>29990</v>
      </c>
      <c r="H322" s="550">
        <v>4277</v>
      </c>
      <c r="I322" s="549">
        <v>5252</v>
      </c>
      <c r="J322" s="550">
        <v>4384</v>
      </c>
      <c r="K322" s="550">
        <f t="shared" si="17"/>
        <v>13913</v>
      </c>
      <c r="L322" s="549">
        <v>0</v>
      </c>
      <c r="M322" s="550">
        <v>0</v>
      </c>
      <c r="N322" s="549">
        <v>0</v>
      </c>
      <c r="O322" s="518">
        <f t="shared" si="18"/>
        <v>0</v>
      </c>
      <c r="P322" s="549">
        <v>33497</v>
      </c>
      <c r="Q322" s="550">
        <v>421</v>
      </c>
      <c r="R322" s="549">
        <v>31929</v>
      </c>
      <c r="S322" s="550">
        <v>32350</v>
      </c>
      <c r="T322" s="556">
        <v>96.58</v>
      </c>
      <c r="U322" s="550">
        <v>664</v>
      </c>
      <c r="V322" s="549">
        <v>387</v>
      </c>
      <c r="W322" s="550">
        <v>32980</v>
      </c>
      <c r="X322" s="549">
        <v>4096</v>
      </c>
      <c r="Y322" s="550">
        <v>0</v>
      </c>
      <c r="Z322" s="549">
        <v>16233</v>
      </c>
      <c r="AA322" s="550">
        <v>246</v>
      </c>
      <c r="AB322" s="549">
        <v>15265</v>
      </c>
      <c r="AC322" s="550">
        <v>15511</v>
      </c>
      <c r="AD322" s="556">
        <v>95.55</v>
      </c>
      <c r="AE322" s="550">
        <v>-668</v>
      </c>
      <c r="AF322" s="549">
        <v>150</v>
      </c>
      <c r="AG322" s="550">
        <v>14747</v>
      </c>
      <c r="AH322" s="549">
        <v>1272</v>
      </c>
      <c r="AI322" s="550">
        <v>17129140.689999998</v>
      </c>
      <c r="AJ322" s="549">
        <v>23400</v>
      </c>
      <c r="AK322" s="550">
        <v>2</v>
      </c>
      <c r="AL322" s="549">
        <v>1692.42</v>
      </c>
      <c r="AM322" s="473">
        <f t="shared" si="19"/>
        <v>39606.012840000003</v>
      </c>
      <c r="AN322" s="141"/>
      <c r="AO322" s="566"/>
      <c r="AP322" s="567"/>
    </row>
    <row r="323" spans="1:42">
      <c r="A323" s="471">
        <v>312</v>
      </c>
      <c r="B323" s="481" t="s">
        <v>659</v>
      </c>
      <c r="C323" s="472" t="s">
        <v>660</v>
      </c>
      <c r="D323" s="550">
        <v>32865</v>
      </c>
      <c r="E323" s="549">
        <v>32799</v>
      </c>
      <c r="F323" s="550">
        <v>32717</v>
      </c>
      <c r="G323" s="549">
        <f t="shared" si="16"/>
        <v>98381</v>
      </c>
      <c r="H323" s="550">
        <v>21632</v>
      </c>
      <c r="I323" s="549">
        <v>21587</v>
      </c>
      <c r="J323" s="550">
        <v>25145</v>
      </c>
      <c r="K323" s="550">
        <f t="shared" si="17"/>
        <v>68364</v>
      </c>
      <c r="L323" s="549">
        <v>0</v>
      </c>
      <c r="M323" s="550">
        <v>0</v>
      </c>
      <c r="N323" s="549">
        <v>0</v>
      </c>
      <c r="O323" s="518">
        <f t="shared" si="18"/>
        <v>0</v>
      </c>
      <c r="P323" s="549">
        <v>108396</v>
      </c>
      <c r="Q323" s="550">
        <v>566</v>
      </c>
      <c r="R323" s="549">
        <v>103454</v>
      </c>
      <c r="S323" s="550">
        <v>104020</v>
      </c>
      <c r="T323" s="556">
        <v>95.96</v>
      </c>
      <c r="U323" s="550">
        <v>2820</v>
      </c>
      <c r="V323" s="549">
        <v>393</v>
      </c>
      <c r="W323" s="550">
        <v>106667</v>
      </c>
      <c r="X323" s="549">
        <v>15616</v>
      </c>
      <c r="Y323" s="550">
        <v>0</v>
      </c>
      <c r="Z323" s="549">
        <v>77704</v>
      </c>
      <c r="AA323" s="550">
        <v>111</v>
      </c>
      <c r="AB323" s="549">
        <v>74927</v>
      </c>
      <c r="AC323" s="550">
        <v>75038</v>
      </c>
      <c r="AD323" s="556">
        <v>96.57</v>
      </c>
      <c r="AE323" s="550">
        <v>199</v>
      </c>
      <c r="AF323" s="549">
        <v>76</v>
      </c>
      <c r="AG323" s="550">
        <v>75202</v>
      </c>
      <c r="AH323" s="549">
        <v>15284</v>
      </c>
      <c r="AI323" s="550">
        <v>81929831.099999994</v>
      </c>
      <c r="AJ323" s="549">
        <v>99806</v>
      </c>
      <c r="AK323" s="550">
        <v>0</v>
      </c>
      <c r="AL323" s="549">
        <v>1402.95</v>
      </c>
      <c r="AM323" s="473">
        <f t="shared" si="19"/>
        <v>140022.82770000002</v>
      </c>
      <c r="AN323" s="141"/>
      <c r="AO323" s="566"/>
      <c r="AP323" s="567"/>
    </row>
    <row r="324" spans="1:42">
      <c r="A324" s="471">
        <v>313</v>
      </c>
      <c r="B324" s="481" t="s">
        <v>814</v>
      </c>
      <c r="C324" s="474" t="s">
        <v>823</v>
      </c>
      <c r="D324" s="550">
        <v>83047</v>
      </c>
      <c r="E324" s="549">
        <v>72539</v>
      </c>
      <c r="F324" s="550">
        <v>66025</v>
      </c>
      <c r="G324" s="549">
        <f t="shared" si="16"/>
        <v>221611</v>
      </c>
      <c r="H324" s="550">
        <v>48704</v>
      </c>
      <c r="I324" s="549">
        <v>40348</v>
      </c>
      <c r="J324" s="550">
        <v>32999</v>
      </c>
      <c r="K324" s="550">
        <f t="shared" si="17"/>
        <v>122051</v>
      </c>
      <c r="L324" s="549">
        <v>0</v>
      </c>
      <c r="M324" s="550">
        <v>0</v>
      </c>
      <c r="N324" s="549">
        <v>0</v>
      </c>
      <c r="O324" s="518">
        <f t="shared" si="18"/>
        <v>0</v>
      </c>
      <c r="P324" s="549">
        <v>249788</v>
      </c>
      <c r="Q324" s="550">
        <v>2133</v>
      </c>
      <c r="R324" s="549">
        <v>242121</v>
      </c>
      <c r="S324" s="550">
        <v>244254</v>
      </c>
      <c r="T324" s="556">
        <v>97.78</v>
      </c>
      <c r="U324" s="550">
        <v>3779</v>
      </c>
      <c r="V324" s="549">
        <v>2502</v>
      </c>
      <c r="W324" s="550">
        <v>248402</v>
      </c>
      <c r="X324" s="549">
        <v>31305</v>
      </c>
      <c r="Y324" s="550">
        <v>0</v>
      </c>
      <c r="Z324" s="549">
        <v>139235</v>
      </c>
      <c r="AA324" s="550">
        <v>272</v>
      </c>
      <c r="AB324" s="549">
        <v>134787</v>
      </c>
      <c r="AC324" s="550">
        <v>135059</v>
      </c>
      <c r="AD324" s="556">
        <v>97</v>
      </c>
      <c r="AE324" s="550">
        <v>381</v>
      </c>
      <c r="AF324" s="549">
        <v>1050</v>
      </c>
      <c r="AG324" s="550">
        <v>136218</v>
      </c>
      <c r="AH324" s="549">
        <v>15043</v>
      </c>
      <c r="AI324" s="550">
        <v>148513812.83000001</v>
      </c>
      <c r="AJ324" s="549">
        <v>177542.09</v>
      </c>
      <c r="AK324" s="550">
        <v>4804.7</v>
      </c>
      <c r="AL324" s="549">
        <v>1516.62</v>
      </c>
      <c r="AM324" s="473">
        <f t="shared" si="19"/>
        <v>276550.7886498</v>
      </c>
      <c r="AN324" s="141"/>
      <c r="AO324" s="566"/>
      <c r="AP324" s="567"/>
    </row>
    <row r="325" spans="1:42">
      <c r="A325" s="471">
        <v>314</v>
      </c>
      <c r="B325" s="481" t="s">
        <v>661</v>
      </c>
      <c r="C325" s="472" t="s">
        <v>662</v>
      </c>
      <c r="D325" s="550">
        <v>19291</v>
      </c>
      <c r="E325" s="549">
        <v>18888</v>
      </c>
      <c r="F325" s="550">
        <v>18894</v>
      </c>
      <c r="G325" s="549">
        <f t="shared" si="16"/>
        <v>57073</v>
      </c>
      <c r="H325" s="550">
        <v>18746</v>
      </c>
      <c r="I325" s="549">
        <v>14197</v>
      </c>
      <c r="J325" s="550">
        <v>15066</v>
      </c>
      <c r="K325" s="550">
        <f t="shared" si="17"/>
        <v>48009</v>
      </c>
      <c r="L325" s="549">
        <v>0</v>
      </c>
      <c r="M325" s="550">
        <v>0</v>
      </c>
      <c r="N325" s="549">
        <v>0</v>
      </c>
      <c r="O325" s="518">
        <f t="shared" si="18"/>
        <v>0</v>
      </c>
      <c r="P325" s="549">
        <v>64876</v>
      </c>
      <c r="Q325" s="550">
        <v>649</v>
      </c>
      <c r="R325" s="549">
        <v>63424</v>
      </c>
      <c r="S325" s="550">
        <v>64073</v>
      </c>
      <c r="T325" s="556">
        <v>98.76</v>
      </c>
      <c r="U325" s="550">
        <v>331</v>
      </c>
      <c r="V325" s="549">
        <v>748</v>
      </c>
      <c r="W325" s="550">
        <v>64503</v>
      </c>
      <c r="X325" s="549">
        <v>8461</v>
      </c>
      <c r="Y325" s="550">
        <v>0</v>
      </c>
      <c r="Z325" s="549">
        <v>50599</v>
      </c>
      <c r="AA325" s="550">
        <v>1023</v>
      </c>
      <c r="AB325" s="549">
        <v>48845</v>
      </c>
      <c r="AC325" s="550">
        <v>49868</v>
      </c>
      <c r="AD325" s="556">
        <v>98.56</v>
      </c>
      <c r="AE325" s="550">
        <v>-361</v>
      </c>
      <c r="AF325" s="549">
        <v>562</v>
      </c>
      <c r="AG325" s="550">
        <v>49046</v>
      </c>
      <c r="AH325" s="549">
        <v>4537</v>
      </c>
      <c r="AI325" s="550">
        <v>52317425.75</v>
      </c>
      <c r="AJ325" s="549">
        <v>49469.99</v>
      </c>
      <c r="AK325" s="550">
        <v>353.8</v>
      </c>
      <c r="AL325" s="549">
        <v>1442.88</v>
      </c>
      <c r="AM325" s="473">
        <f t="shared" si="19"/>
        <v>71889.750115200019</v>
      </c>
      <c r="AN325" s="141"/>
      <c r="AO325" s="566"/>
      <c r="AP325" s="567"/>
    </row>
    <row r="326" spans="1:42">
      <c r="A326" s="471">
        <v>315</v>
      </c>
      <c r="B326" s="481" t="s">
        <v>663</v>
      </c>
      <c r="C326" s="472" t="s">
        <v>664</v>
      </c>
      <c r="D326" s="550">
        <v>22220</v>
      </c>
      <c r="E326" s="549">
        <v>21471</v>
      </c>
      <c r="F326" s="550">
        <v>21366</v>
      </c>
      <c r="G326" s="549">
        <f t="shared" si="16"/>
        <v>65057</v>
      </c>
      <c r="H326" s="550">
        <v>26147</v>
      </c>
      <c r="I326" s="549">
        <v>20545</v>
      </c>
      <c r="J326" s="550">
        <v>20447</v>
      </c>
      <c r="K326" s="550">
        <f t="shared" si="17"/>
        <v>67139</v>
      </c>
      <c r="L326" s="549">
        <v>0</v>
      </c>
      <c r="M326" s="550">
        <v>0</v>
      </c>
      <c r="N326" s="549">
        <v>0</v>
      </c>
      <c r="O326" s="518">
        <f t="shared" si="18"/>
        <v>0</v>
      </c>
      <c r="P326" s="549">
        <v>75406</v>
      </c>
      <c r="Q326" s="550">
        <v>744</v>
      </c>
      <c r="R326" s="549">
        <v>72963</v>
      </c>
      <c r="S326" s="550">
        <v>73707</v>
      </c>
      <c r="T326" s="556">
        <v>97.75</v>
      </c>
      <c r="U326" s="550">
        <v>1099</v>
      </c>
      <c r="V326" s="549">
        <v>1642</v>
      </c>
      <c r="W326" s="550">
        <v>75704</v>
      </c>
      <c r="X326" s="549">
        <v>10207</v>
      </c>
      <c r="Y326" s="550">
        <v>0</v>
      </c>
      <c r="Z326" s="549">
        <v>78383</v>
      </c>
      <c r="AA326" s="550">
        <v>1639</v>
      </c>
      <c r="AB326" s="549">
        <v>73126</v>
      </c>
      <c r="AC326" s="550">
        <v>74765</v>
      </c>
      <c r="AD326" s="556">
        <v>95.38</v>
      </c>
      <c r="AE326" s="550">
        <v>-261</v>
      </c>
      <c r="AF326" s="549">
        <v>1361</v>
      </c>
      <c r="AG326" s="550">
        <v>74226</v>
      </c>
      <c r="AH326" s="549">
        <v>9749</v>
      </c>
      <c r="AI326" s="550">
        <v>79666043.61999999</v>
      </c>
      <c r="AJ326" s="549">
        <v>66770.149999999994</v>
      </c>
      <c r="AK326" s="550">
        <v>0</v>
      </c>
      <c r="AL326" s="549">
        <v>1181.6500000000001</v>
      </c>
      <c r="AM326" s="473">
        <f t="shared" si="19"/>
        <v>78898.947747500002</v>
      </c>
      <c r="AN326" s="141"/>
      <c r="AO326" s="566"/>
      <c r="AP326" s="567"/>
    </row>
    <row r="327" spans="1:42">
      <c r="A327" s="471">
        <v>316</v>
      </c>
      <c r="B327" s="481" t="s">
        <v>665</v>
      </c>
      <c r="C327" s="472" t="s">
        <v>666</v>
      </c>
      <c r="D327" s="550">
        <v>37034</v>
      </c>
      <c r="E327" s="549">
        <v>38696</v>
      </c>
      <c r="F327" s="550">
        <v>37643</v>
      </c>
      <c r="G327" s="549">
        <f t="shared" si="16"/>
        <v>113373</v>
      </c>
      <c r="H327" s="550">
        <v>19600</v>
      </c>
      <c r="I327" s="549">
        <v>21783</v>
      </c>
      <c r="J327" s="550">
        <v>18636</v>
      </c>
      <c r="K327" s="550">
        <f t="shared" si="17"/>
        <v>60019</v>
      </c>
      <c r="L327" s="549">
        <v>0</v>
      </c>
      <c r="M327" s="550">
        <v>0</v>
      </c>
      <c r="N327" s="549">
        <v>0</v>
      </c>
      <c r="O327" s="518">
        <f t="shared" si="18"/>
        <v>0</v>
      </c>
      <c r="P327" s="549">
        <v>125333</v>
      </c>
      <c r="Q327" s="550">
        <v>4327</v>
      </c>
      <c r="R327" s="549">
        <v>116956</v>
      </c>
      <c r="S327" s="550">
        <v>121283</v>
      </c>
      <c r="T327" s="556">
        <v>96.77</v>
      </c>
      <c r="U327" s="550">
        <v>2421</v>
      </c>
      <c r="V327" s="549">
        <v>1053</v>
      </c>
      <c r="W327" s="550">
        <v>120430</v>
      </c>
      <c r="X327" s="549">
        <v>16615</v>
      </c>
      <c r="Y327" s="550">
        <v>0</v>
      </c>
      <c r="Z327" s="549">
        <v>67649</v>
      </c>
      <c r="AA327" s="550">
        <v>336</v>
      </c>
      <c r="AB327" s="549">
        <v>64170</v>
      </c>
      <c r="AC327" s="550">
        <v>64506</v>
      </c>
      <c r="AD327" s="556">
        <v>95.35</v>
      </c>
      <c r="AE327" s="550">
        <v>1838</v>
      </c>
      <c r="AF327" s="549">
        <v>726</v>
      </c>
      <c r="AG327" s="550">
        <v>66734</v>
      </c>
      <c r="AH327" s="549">
        <v>9312</v>
      </c>
      <c r="AI327" s="550">
        <v>69424967.430000007</v>
      </c>
      <c r="AJ327" s="549">
        <v>107833.8</v>
      </c>
      <c r="AK327" s="550">
        <v>0</v>
      </c>
      <c r="AL327" s="549">
        <v>1500.59</v>
      </c>
      <c r="AM327" s="473">
        <f t="shared" si="19"/>
        <v>161814.32194200001</v>
      </c>
      <c r="AN327" s="141"/>
      <c r="AO327" s="566"/>
      <c r="AP327" s="567"/>
    </row>
    <row r="328" spans="1:42">
      <c r="A328" s="471">
        <v>317</v>
      </c>
      <c r="B328" s="481" t="s">
        <v>667</v>
      </c>
      <c r="C328" s="472" t="s">
        <v>668</v>
      </c>
      <c r="D328" s="550">
        <v>18286</v>
      </c>
      <c r="E328" s="549">
        <v>17938</v>
      </c>
      <c r="F328" s="550">
        <v>17883</v>
      </c>
      <c r="G328" s="549">
        <f t="shared" si="16"/>
        <v>54107</v>
      </c>
      <c r="H328" s="550">
        <v>15049</v>
      </c>
      <c r="I328" s="549">
        <v>12474</v>
      </c>
      <c r="J328" s="550">
        <v>13067</v>
      </c>
      <c r="K328" s="550">
        <f t="shared" si="17"/>
        <v>40590</v>
      </c>
      <c r="L328" s="549">
        <v>0</v>
      </c>
      <c r="M328" s="550">
        <v>0</v>
      </c>
      <c r="N328" s="549">
        <v>0</v>
      </c>
      <c r="O328" s="518">
        <f t="shared" si="18"/>
        <v>0</v>
      </c>
      <c r="P328" s="549">
        <v>59953</v>
      </c>
      <c r="Q328" s="550">
        <v>639</v>
      </c>
      <c r="R328" s="549">
        <v>58088</v>
      </c>
      <c r="S328" s="550">
        <v>58727</v>
      </c>
      <c r="T328" s="556">
        <v>97.96</v>
      </c>
      <c r="U328" s="550">
        <v>674</v>
      </c>
      <c r="V328" s="549">
        <v>701</v>
      </c>
      <c r="W328" s="550">
        <v>59463</v>
      </c>
      <c r="X328" s="549">
        <v>7492</v>
      </c>
      <c r="Y328" s="550">
        <v>0</v>
      </c>
      <c r="Z328" s="549">
        <v>44507</v>
      </c>
      <c r="AA328" s="550">
        <v>1436</v>
      </c>
      <c r="AB328" s="549">
        <v>41939</v>
      </c>
      <c r="AC328" s="550">
        <v>43375</v>
      </c>
      <c r="AD328" s="556">
        <v>97.46</v>
      </c>
      <c r="AE328" s="550">
        <v>-947</v>
      </c>
      <c r="AF328" s="549">
        <v>337</v>
      </c>
      <c r="AG328" s="550">
        <v>41329</v>
      </c>
      <c r="AH328" s="549">
        <v>3736</v>
      </c>
      <c r="AI328" s="550">
        <v>45199325.720000006</v>
      </c>
      <c r="AJ328" s="549">
        <v>41716.9</v>
      </c>
      <c r="AK328" s="550">
        <v>101.2</v>
      </c>
      <c r="AL328" s="549">
        <v>1588.78</v>
      </c>
      <c r="AM328" s="473">
        <f t="shared" si="19"/>
        <v>66439.760918</v>
      </c>
      <c r="AN328" s="141"/>
      <c r="AO328" s="566"/>
      <c r="AP328" s="567"/>
    </row>
    <row r="329" spans="1:42">
      <c r="A329" s="471">
        <v>318</v>
      </c>
      <c r="B329" s="481" t="s">
        <v>669</v>
      </c>
      <c r="C329" s="472" t="s">
        <v>670</v>
      </c>
      <c r="D329" s="550">
        <v>28519</v>
      </c>
      <c r="E329" s="549">
        <v>27436</v>
      </c>
      <c r="F329" s="550">
        <v>27411</v>
      </c>
      <c r="G329" s="549">
        <f t="shared" si="16"/>
        <v>83366</v>
      </c>
      <c r="H329" s="550">
        <v>18829</v>
      </c>
      <c r="I329" s="549">
        <v>15984</v>
      </c>
      <c r="J329" s="550">
        <v>14748</v>
      </c>
      <c r="K329" s="550">
        <f t="shared" si="17"/>
        <v>49561</v>
      </c>
      <c r="L329" s="549">
        <v>0</v>
      </c>
      <c r="M329" s="550">
        <v>0</v>
      </c>
      <c r="N329" s="549">
        <v>0</v>
      </c>
      <c r="O329" s="518">
        <f t="shared" si="18"/>
        <v>0</v>
      </c>
      <c r="P329" s="549">
        <v>92262</v>
      </c>
      <c r="Q329" s="550">
        <v>784</v>
      </c>
      <c r="R329" s="549">
        <v>90955</v>
      </c>
      <c r="S329" s="550">
        <v>91739</v>
      </c>
      <c r="T329" s="556">
        <v>99.43</v>
      </c>
      <c r="U329" s="550">
        <v>912</v>
      </c>
      <c r="V329" s="549">
        <v>582</v>
      </c>
      <c r="W329" s="550">
        <v>92449</v>
      </c>
      <c r="X329" s="549">
        <v>12186</v>
      </c>
      <c r="Y329" s="550">
        <v>0</v>
      </c>
      <c r="Z329" s="549">
        <v>54438</v>
      </c>
      <c r="AA329" s="550">
        <v>35</v>
      </c>
      <c r="AB329" s="549">
        <v>53541</v>
      </c>
      <c r="AC329" s="550">
        <v>53576</v>
      </c>
      <c r="AD329" s="556">
        <v>98.42</v>
      </c>
      <c r="AE329" s="550">
        <v>-3127</v>
      </c>
      <c r="AF329" s="549">
        <v>56</v>
      </c>
      <c r="AG329" s="550">
        <v>50470</v>
      </c>
      <c r="AH329" s="549">
        <v>6500</v>
      </c>
      <c r="AI329" s="550">
        <v>56219661.199999996</v>
      </c>
      <c r="AJ329" s="549">
        <v>66193.3</v>
      </c>
      <c r="AK329" s="550">
        <v>319.5</v>
      </c>
      <c r="AL329" s="549">
        <v>1493.98</v>
      </c>
      <c r="AM329" s="473">
        <f t="shared" si="19"/>
        <v>99368.792944000001</v>
      </c>
      <c r="AN329" s="141"/>
      <c r="AO329" s="566"/>
      <c r="AP329" s="567"/>
    </row>
    <row r="330" spans="1:42">
      <c r="A330" s="471">
        <v>319</v>
      </c>
      <c r="B330" s="481" t="s">
        <v>671</v>
      </c>
      <c r="C330" s="472" t="s">
        <v>672</v>
      </c>
      <c r="D330" s="550">
        <v>22334</v>
      </c>
      <c r="E330" s="549">
        <v>21508</v>
      </c>
      <c r="F330" s="550">
        <v>21890</v>
      </c>
      <c r="G330" s="549">
        <f t="shared" si="16"/>
        <v>65732</v>
      </c>
      <c r="H330" s="550">
        <v>18586</v>
      </c>
      <c r="I330" s="549">
        <v>23126</v>
      </c>
      <c r="J330" s="550">
        <v>17934</v>
      </c>
      <c r="K330" s="550">
        <f t="shared" si="17"/>
        <v>59646</v>
      </c>
      <c r="L330" s="549">
        <v>0</v>
      </c>
      <c r="M330" s="550">
        <v>0</v>
      </c>
      <c r="N330" s="549">
        <v>0</v>
      </c>
      <c r="O330" s="518">
        <f t="shared" si="18"/>
        <v>0</v>
      </c>
      <c r="P330" s="549">
        <v>78365</v>
      </c>
      <c r="Q330" s="550">
        <v>834</v>
      </c>
      <c r="R330" s="549">
        <v>74784</v>
      </c>
      <c r="S330" s="550">
        <v>75618</v>
      </c>
      <c r="T330" s="556">
        <v>96.49</v>
      </c>
      <c r="U330" s="550">
        <v>2022</v>
      </c>
      <c r="V330" s="549">
        <v>670</v>
      </c>
      <c r="W330" s="550">
        <v>77476</v>
      </c>
      <c r="X330" s="549">
        <v>14449</v>
      </c>
      <c r="Y330" s="550">
        <v>0</v>
      </c>
      <c r="Z330" s="549">
        <v>73226</v>
      </c>
      <c r="AA330" s="550">
        <v>215</v>
      </c>
      <c r="AB330" s="549">
        <v>69645</v>
      </c>
      <c r="AC330" s="550">
        <v>69860</v>
      </c>
      <c r="AD330" s="556">
        <v>95.4</v>
      </c>
      <c r="AE330" s="550">
        <v>565</v>
      </c>
      <c r="AF330" s="549">
        <v>98</v>
      </c>
      <c r="AG330" s="550">
        <v>70308</v>
      </c>
      <c r="AH330" s="549">
        <v>10908</v>
      </c>
      <c r="AI330" s="550">
        <v>76132577.310000002</v>
      </c>
      <c r="AJ330" s="549">
        <v>74408.800000000003</v>
      </c>
      <c r="AK330" s="550">
        <v>0</v>
      </c>
      <c r="AL330" s="549">
        <v>1471.97</v>
      </c>
      <c r="AM330" s="473">
        <f t="shared" si="19"/>
        <v>109527.52133600001</v>
      </c>
      <c r="AN330" s="141"/>
      <c r="AO330" s="566"/>
      <c r="AP330" s="567"/>
    </row>
    <row r="331" spans="1:42">
      <c r="A331" s="471">
        <v>320</v>
      </c>
      <c r="B331" s="481" t="s">
        <v>673</v>
      </c>
      <c r="C331" s="472" t="s">
        <v>674</v>
      </c>
      <c r="D331" s="550">
        <v>12430</v>
      </c>
      <c r="E331" s="549">
        <v>12274</v>
      </c>
      <c r="F331" s="550">
        <v>12285</v>
      </c>
      <c r="G331" s="549">
        <f t="shared" si="16"/>
        <v>36989</v>
      </c>
      <c r="H331" s="550">
        <v>12182</v>
      </c>
      <c r="I331" s="549">
        <v>12368</v>
      </c>
      <c r="J331" s="550">
        <v>11150</v>
      </c>
      <c r="K331" s="550">
        <f t="shared" si="17"/>
        <v>35700</v>
      </c>
      <c r="L331" s="549">
        <v>0</v>
      </c>
      <c r="M331" s="550">
        <v>0</v>
      </c>
      <c r="N331" s="549">
        <v>0</v>
      </c>
      <c r="O331" s="518">
        <f t="shared" si="18"/>
        <v>0</v>
      </c>
      <c r="P331" s="549">
        <v>41908</v>
      </c>
      <c r="Q331" s="550">
        <v>566</v>
      </c>
      <c r="R331" s="549">
        <v>40317</v>
      </c>
      <c r="S331" s="550">
        <v>40883</v>
      </c>
      <c r="T331" s="556">
        <v>97.55</v>
      </c>
      <c r="U331" s="550">
        <v>708</v>
      </c>
      <c r="V331" s="549">
        <v>582</v>
      </c>
      <c r="W331" s="550">
        <v>41607</v>
      </c>
      <c r="X331" s="549">
        <v>5429</v>
      </c>
      <c r="Y331" s="550">
        <v>0</v>
      </c>
      <c r="Z331" s="549">
        <v>39685</v>
      </c>
      <c r="AA331" s="550">
        <v>749</v>
      </c>
      <c r="AB331" s="549">
        <v>38340</v>
      </c>
      <c r="AC331" s="550">
        <v>39089</v>
      </c>
      <c r="AD331" s="556">
        <v>98.5</v>
      </c>
      <c r="AE331" s="550">
        <v>-576</v>
      </c>
      <c r="AF331" s="549">
        <v>435</v>
      </c>
      <c r="AG331" s="550">
        <v>38199</v>
      </c>
      <c r="AH331" s="549">
        <v>3638</v>
      </c>
      <c r="AI331" s="550">
        <v>41785675.25</v>
      </c>
      <c r="AJ331" s="549">
        <v>33446</v>
      </c>
      <c r="AK331" s="550">
        <v>0</v>
      </c>
      <c r="AL331" s="549">
        <v>1457.38</v>
      </c>
      <c r="AM331" s="473">
        <f t="shared" si="19"/>
        <v>48743.531480000005</v>
      </c>
      <c r="AN331" s="141"/>
      <c r="AO331" s="566"/>
      <c r="AP331" s="567"/>
    </row>
    <row r="332" spans="1:42">
      <c r="A332" s="471">
        <v>321</v>
      </c>
      <c r="B332" s="481" t="s">
        <v>675</v>
      </c>
      <c r="C332" s="472" t="s">
        <v>676</v>
      </c>
      <c r="D332" s="550">
        <v>15553</v>
      </c>
      <c r="E332" s="549">
        <v>15254</v>
      </c>
      <c r="F332" s="550">
        <v>15055</v>
      </c>
      <c r="G332" s="549">
        <f t="shared" si="16"/>
        <v>45862</v>
      </c>
      <c r="H332" s="550">
        <v>10169</v>
      </c>
      <c r="I332" s="549">
        <v>9572</v>
      </c>
      <c r="J332" s="550">
        <v>8365</v>
      </c>
      <c r="K332" s="550">
        <f t="shared" si="17"/>
        <v>28106</v>
      </c>
      <c r="L332" s="549">
        <v>0</v>
      </c>
      <c r="M332" s="550">
        <v>0</v>
      </c>
      <c r="N332" s="549">
        <v>0</v>
      </c>
      <c r="O332" s="518">
        <f t="shared" si="18"/>
        <v>0</v>
      </c>
      <c r="P332" s="549">
        <v>52542</v>
      </c>
      <c r="Q332" s="550">
        <v>848</v>
      </c>
      <c r="R332" s="549">
        <v>50537</v>
      </c>
      <c r="S332" s="550">
        <v>51385</v>
      </c>
      <c r="T332" s="556">
        <v>97.8</v>
      </c>
      <c r="U332" s="550">
        <v>770</v>
      </c>
      <c r="V332" s="549">
        <v>780</v>
      </c>
      <c r="W332" s="550">
        <v>52087</v>
      </c>
      <c r="X332" s="549">
        <v>6736</v>
      </c>
      <c r="Y332" s="550">
        <v>0</v>
      </c>
      <c r="Z332" s="549">
        <v>31028</v>
      </c>
      <c r="AA332" s="550">
        <v>564</v>
      </c>
      <c r="AB332" s="549">
        <v>29485</v>
      </c>
      <c r="AC332" s="550">
        <v>30049</v>
      </c>
      <c r="AD332" s="556">
        <v>96.84</v>
      </c>
      <c r="AE332" s="550">
        <v>-414</v>
      </c>
      <c r="AF332" s="549">
        <v>858</v>
      </c>
      <c r="AG332" s="550">
        <v>29929</v>
      </c>
      <c r="AH332" s="549">
        <v>3073</v>
      </c>
      <c r="AI332" s="550">
        <v>32217831.84</v>
      </c>
      <c r="AJ332" s="549">
        <v>41099.300000000003</v>
      </c>
      <c r="AK332" s="550">
        <v>0</v>
      </c>
      <c r="AL332" s="549">
        <v>1516.41</v>
      </c>
      <c r="AM332" s="473">
        <f t="shared" si="19"/>
        <v>62323.389513000009</v>
      </c>
      <c r="AN332" s="141"/>
      <c r="AO332" s="566"/>
      <c r="AP332" s="567"/>
    </row>
    <row r="333" spans="1:42">
      <c r="A333" s="471">
        <v>322</v>
      </c>
      <c r="B333" s="481" t="s">
        <v>677</v>
      </c>
      <c r="C333" s="472" t="s">
        <v>678</v>
      </c>
      <c r="D333" s="550">
        <v>18586</v>
      </c>
      <c r="E333" s="549">
        <v>18440</v>
      </c>
      <c r="F333" s="550">
        <v>18373</v>
      </c>
      <c r="G333" s="549">
        <f>SUM(D333:F333)</f>
        <v>55399</v>
      </c>
      <c r="H333" s="550">
        <v>11977</v>
      </c>
      <c r="I333" s="549">
        <v>11934</v>
      </c>
      <c r="J333" s="550">
        <v>10710</v>
      </c>
      <c r="K333" s="550">
        <f>SUM(H333:J333)</f>
        <v>34621</v>
      </c>
      <c r="L333" s="549">
        <v>0</v>
      </c>
      <c r="M333" s="550">
        <v>0</v>
      </c>
      <c r="N333" s="549">
        <v>0</v>
      </c>
      <c r="O333" s="518">
        <f>SUM(L333:N333)</f>
        <v>0</v>
      </c>
      <c r="P333" s="549">
        <v>62619</v>
      </c>
      <c r="Q333" s="550">
        <v>764</v>
      </c>
      <c r="R333" s="549">
        <v>60985</v>
      </c>
      <c r="S333" s="550">
        <v>61749</v>
      </c>
      <c r="T333" s="556">
        <v>98.61</v>
      </c>
      <c r="U333" s="550">
        <v>543</v>
      </c>
      <c r="V333" s="549">
        <v>878</v>
      </c>
      <c r="W333" s="550">
        <v>62406</v>
      </c>
      <c r="X333" s="549">
        <v>7766</v>
      </c>
      <c r="Y333" s="550">
        <v>0</v>
      </c>
      <c r="Z333" s="549">
        <v>37892</v>
      </c>
      <c r="AA333" s="550">
        <v>470</v>
      </c>
      <c r="AB333" s="549">
        <v>36881</v>
      </c>
      <c r="AC333" s="550">
        <v>37351</v>
      </c>
      <c r="AD333" s="556">
        <v>98.57</v>
      </c>
      <c r="AE333" s="550">
        <v>-685</v>
      </c>
      <c r="AF333" s="549">
        <v>348</v>
      </c>
      <c r="AG333" s="550">
        <v>36544</v>
      </c>
      <c r="AH333" s="549">
        <v>3562</v>
      </c>
      <c r="AI333" s="550">
        <v>40422384.509999998</v>
      </c>
      <c r="AJ333" s="549">
        <v>48708</v>
      </c>
      <c r="AK333" s="550">
        <v>0</v>
      </c>
      <c r="AL333" s="549">
        <v>1440.79</v>
      </c>
      <c r="AM333" s="473">
        <f>((AJ333+AK333)*AL333)/1000</f>
        <v>70177.999319999988</v>
      </c>
      <c r="AN333" s="141"/>
      <c r="AO333" s="566"/>
      <c r="AP333" s="567"/>
    </row>
    <row r="334" spans="1:42">
      <c r="A334" s="471">
        <v>323</v>
      </c>
      <c r="B334" s="481" t="s">
        <v>679</v>
      </c>
      <c r="C334" s="472" t="s">
        <v>680</v>
      </c>
      <c r="D334" s="550">
        <v>28326</v>
      </c>
      <c r="E334" s="549">
        <v>26838</v>
      </c>
      <c r="F334" s="550">
        <v>26420</v>
      </c>
      <c r="G334" s="549">
        <f>SUM(D334:F334)</f>
        <v>81584</v>
      </c>
      <c r="H334" s="550">
        <v>22750</v>
      </c>
      <c r="I334" s="549">
        <v>20629</v>
      </c>
      <c r="J334" s="550">
        <v>18967</v>
      </c>
      <c r="K334" s="550">
        <f>SUM(H334:J334)</f>
        <v>62346</v>
      </c>
      <c r="L334" s="549">
        <v>0</v>
      </c>
      <c r="M334" s="550">
        <v>0</v>
      </c>
      <c r="N334" s="549">
        <v>0</v>
      </c>
      <c r="O334" s="518">
        <f>SUM(L334:N334)</f>
        <v>0</v>
      </c>
      <c r="P334" s="549">
        <v>91799</v>
      </c>
      <c r="Q334" s="550">
        <v>1160</v>
      </c>
      <c r="R334" s="549">
        <v>89086</v>
      </c>
      <c r="S334" s="550">
        <v>90246</v>
      </c>
      <c r="T334" s="556">
        <v>98.31</v>
      </c>
      <c r="U334" s="550">
        <v>823</v>
      </c>
      <c r="V334" s="549">
        <v>1022</v>
      </c>
      <c r="W334" s="550">
        <v>90931</v>
      </c>
      <c r="X334" s="549">
        <v>11906</v>
      </c>
      <c r="Y334" s="550">
        <v>0</v>
      </c>
      <c r="Z334" s="549">
        <v>70348</v>
      </c>
      <c r="AA334" s="550">
        <v>1100</v>
      </c>
      <c r="AB334" s="549">
        <v>68330</v>
      </c>
      <c r="AC334" s="550">
        <v>69430</v>
      </c>
      <c r="AD334" s="556">
        <v>98.7</v>
      </c>
      <c r="AE334" s="550">
        <v>-3531</v>
      </c>
      <c r="AF334" s="549">
        <v>1001</v>
      </c>
      <c r="AG334" s="550">
        <v>65800</v>
      </c>
      <c r="AH334" s="549">
        <v>2273</v>
      </c>
      <c r="AI334" s="550">
        <v>73169592.790000007</v>
      </c>
      <c r="AJ334" s="549">
        <v>69882</v>
      </c>
      <c r="AK334" s="550">
        <v>819.6</v>
      </c>
      <c r="AL334" s="549">
        <v>1461</v>
      </c>
      <c r="AM334" s="473">
        <f>((AJ334+AK334)*AL334)/1000</f>
        <v>103295.03760000001</v>
      </c>
      <c r="AN334" s="141"/>
      <c r="AO334" s="566"/>
      <c r="AP334" s="567"/>
    </row>
    <row r="335" spans="1:42">
      <c r="A335" s="471">
        <v>324</v>
      </c>
      <c r="B335" s="481" t="s">
        <v>681</v>
      </c>
      <c r="C335" s="472" t="s">
        <v>682</v>
      </c>
      <c r="D335" s="550">
        <v>14379</v>
      </c>
      <c r="E335" s="549">
        <v>15715</v>
      </c>
      <c r="F335" s="550">
        <v>14815</v>
      </c>
      <c r="G335" s="549">
        <f>SUM(D335:F335)</f>
        <v>44909</v>
      </c>
      <c r="H335" s="550">
        <v>8640</v>
      </c>
      <c r="I335" s="549">
        <v>8058</v>
      </c>
      <c r="J335" s="550">
        <v>7120</v>
      </c>
      <c r="K335" s="550">
        <f>SUM(H335:J335)</f>
        <v>23818</v>
      </c>
      <c r="L335" s="549">
        <v>0</v>
      </c>
      <c r="M335" s="550">
        <v>0</v>
      </c>
      <c r="N335" s="549">
        <v>0</v>
      </c>
      <c r="O335" s="518">
        <f>SUM(L335:N335)</f>
        <v>0</v>
      </c>
      <c r="P335" s="549">
        <v>50796</v>
      </c>
      <c r="Q335" s="550">
        <v>529</v>
      </c>
      <c r="R335" s="549">
        <v>49368</v>
      </c>
      <c r="S335" s="550">
        <v>49897</v>
      </c>
      <c r="T335" s="556">
        <v>98.23</v>
      </c>
      <c r="U335" s="550">
        <v>761</v>
      </c>
      <c r="V335" s="549">
        <v>475</v>
      </c>
      <c r="W335" s="550">
        <v>50604</v>
      </c>
      <c r="X335" s="549">
        <v>6314</v>
      </c>
      <c r="Y335" s="550">
        <v>0</v>
      </c>
      <c r="Z335" s="549">
        <v>25248</v>
      </c>
      <c r="AA335" s="550">
        <v>134</v>
      </c>
      <c r="AB335" s="549">
        <v>24814</v>
      </c>
      <c r="AC335" s="550">
        <v>24948</v>
      </c>
      <c r="AD335" s="556">
        <v>98.81</v>
      </c>
      <c r="AE335" s="550">
        <v>-18</v>
      </c>
      <c r="AF335" s="549">
        <v>97</v>
      </c>
      <c r="AG335" s="550">
        <v>24893</v>
      </c>
      <c r="AH335" s="549">
        <v>3177</v>
      </c>
      <c r="AI335" s="550">
        <v>26243370.209999997</v>
      </c>
      <c r="AJ335" s="549">
        <v>40355.24</v>
      </c>
      <c r="AK335" s="550">
        <v>0</v>
      </c>
      <c r="AL335" s="549">
        <v>1494.34</v>
      </c>
      <c r="AM335" s="473">
        <f>((AJ335+AK335)*AL335)/1000</f>
        <v>60304.449341599997</v>
      </c>
      <c r="AN335" s="141"/>
      <c r="AO335" s="566"/>
      <c r="AP335" s="567"/>
    </row>
    <row r="336" spans="1:42">
      <c r="A336" s="471">
        <v>325</v>
      </c>
      <c r="B336" s="481" t="s">
        <v>683</v>
      </c>
      <c r="C336" s="472" t="s">
        <v>684</v>
      </c>
      <c r="D336" s="550">
        <v>13584</v>
      </c>
      <c r="E336" s="549">
        <v>13340</v>
      </c>
      <c r="F336" s="550">
        <v>13127</v>
      </c>
      <c r="G336" s="549">
        <f>SUM(D336:F336)</f>
        <v>40051</v>
      </c>
      <c r="H336" s="550">
        <v>8092</v>
      </c>
      <c r="I336" s="549">
        <v>8743</v>
      </c>
      <c r="J336" s="550">
        <v>7262</v>
      </c>
      <c r="K336" s="550">
        <f>SUM(H336:J336)</f>
        <v>24097</v>
      </c>
      <c r="L336" s="549">
        <v>0</v>
      </c>
      <c r="M336" s="550">
        <v>0</v>
      </c>
      <c r="N336" s="549">
        <v>0</v>
      </c>
      <c r="O336" s="518">
        <f>SUM(L336:N336)</f>
        <v>0</v>
      </c>
      <c r="P336" s="549">
        <v>44653</v>
      </c>
      <c r="Q336" s="550">
        <v>416</v>
      </c>
      <c r="R336" s="549">
        <v>43425</v>
      </c>
      <c r="S336" s="550">
        <v>43841</v>
      </c>
      <c r="T336" s="556">
        <v>98.18</v>
      </c>
      <c r="U336" s="550">
        <v>805</v>
      </c>
      <c r="V336" s="549">
        <v>423</v>
      </c>
      <c r="W336" s="550">
        <v>44653</v>
      </c>
      <c r="X336" s="549">
        <v>5459</v>
      </c>
      <c r="Y336" s="550">
        <v>0</v>
      </c>
      <c r="Z336" s="549">
        <v>27355</v>
      </c>
      <c r="AA336" s="550">
        <v>266</v>
      </c>
      <c r="AB336" s="549">
        <v>27101</v>
      </c>
      <c r="AC336" s="550">
        <v>27367</v>
      </c>
      <c r="AD336" s="556">
        <v>100.04</v>
      </c>
      <c r="AE336" s="550">
        <v>34</v>
      </c>
      <c r="AF336" s="549">
        <v>386</v>
      </c>
      <c r="AG336" s="550">
        <v>27521</v>
      </c>
      <c r="AH336" s="549">
        <v>3171</v>
      </c>
      <c r="AI336" s="550">
        <v>30069244.619999997</v>
      </c>
      <c r="AJ336" s="549">
        <v>35487.1</v>
      </c>
      <c r="AK336" s="550">
        <v>0</v>
      </c>
      <c r="AL336" s="549">
        <v>1503.71</v>
      </c>
      <c r="AM336" s="473">
        <f>((AJ336+AK336)*AL336)/1000</f>
        <v>53362.307141000005</v>
      </c>
      <c r="AN336" s="141"/>
      <c r="AO336" s="566"/>
      <c r="AP336" s="567"/>
    </row>
    <row r="337" spans="1:42" ht="13.5" thickBot="1">
      <c r="A337" s="471">
        <v>326</v>
      </c>
      <c r="B337" s="481" t="s">
        <v>685</v>
      </c>
      <c r="C337" s="472" t="s">
        <v>686</v>
      </c>
      <c r="D337" s="551">
        <v>26073</v>
      </c>
      <c r="E337" s="549">
        <v>25270</v>
      </c>
      <c r="F337" s="551">
        <v>26575</v>
      </c>
      <c r="G337" s="549">
        <f>SUM(D337:F337)</f>
        <v>77918</v>
      </c>
      <c r="H337" s="551">
        <v>32293</v>
      </c>
      <c r="I337" s="549">
        <v>26056</v>
      </c>
      <c r="J337" s="551">
        <v>25707</v>
      </c>
      <c r="K337" s="551">
        <f>SUM(H337:J337)</f>
        <v>84056</v>
      </c>
      <c r="L337" s="549">
        <v>0</v>
      </c>
      <c r="M337" s="551">
        <v>0</v>
      </c>
      <c r="N337" s="549">
        <v>0</v>
      </c>
      <c r="O337" s="519">
        <f>SUM(L337:N337)</f>
        <v>0</v>
      </c>
      <c r="P337" s="549">
        <v>84361</v>
      </c>
      <c r="Q337" s="551">
        <v>759</v>
      </c>
      <c r="R337" s="549">
        <v>81866</v>
      </c>
      <c r="S337" s="551">
        <v>82625</v>
      </c>
      <c r="T337" s="556">
        <v>97.94</v>
      </c>
      <c r="U337" s="551">
        <v>733</v>
      </c>
      <c r="V337" s="549">
        <v>705</v>
      </c>
      <c r="W337" s="551">
        <v>83304</v>
      </c>
      <c r="X337" s="549">
        <v>8049</v>
      </c>
      <c r="Y337" s="551">
        <v>0</v>
      </c>
      <c r="Z337" s="549">
        <v>95301</v>
      </c>
      <c r="AA337" s="551">
        <v>933</v>
      </c>
      <c r="AB337" s="549">
        <v>92481</v>
      </c>
      <c r="AC337" s="551">
        <v>93414</v>
      </c>
      <c r="AD337" s="556">
        <v>98.02</v>
      </c>
      <c r="AE337" s="551">
        <v>-930</v>
      </c>
      <c r="AF337" s="549">
        <v>955</v>
      </c>
      <c r="AG337" s="551">
        <v>92506</v>
      </c>
      <c r="AH337" s="549">
        <v>11572</v>
      </c>
      <c r="AI337" s="551">
        <v>98872129.239999995</v>
      </c>
      <c r="AJ337" s="549">
        <v>67868.22</v>
      </c>
      <c r="AK337" s="551">
        <v>319</v>
      </c>
      <c r="AL337" s="549">
        <v>1419.98</v>
      </c>
      <c r="AM337" s="473">
        <f>((AJ337+AK337)*AL337)/1000</f>
        <v>96824.488655599998</v>
      </c>
      <c r="AN337" s="141"/>
      <c r="AO337" s="566"/>
      <c r="AP337" s="567"/>
    </row>
    <row r="338" spans="1:42" s="452" customFormat="1" ht="13.5" thickBot="1">
      <c r="A338" s="475">
        <v>327</v>
      </c>
      <c r="B338" s="482" t="s">
        <v>687</v>
      </c>
      <c r="C338" s="476" t="s">
        <v>688</v>
      </c>
      <c r="D338" s="477">
        <f>SUM(D12:D337)</f>
        <v>6910779.1799999997</v>
      </c>
      <c r="E338" s="477">
        <f t="shared" ref="E338:AM338" si="20">SUM(E12:E337)</f>
        <v>6715468.9499999993</v>
      </c>
      <c r="F338" s="477">
        <f t="shared" si="20"/>
        <v>6696421.8899999997</v>
      </c>
      <c r="G338" s="477">
        <f t="shared" si="20"/>
        <v>20322670.020000003</v>
      </c>
      <c r="H338" s="477">
        <f t="shared" si="20"/>
        <v>7432503.8700000001</v>
      </c>
      <c r="I338" s="477">
        <f t="shared" si="20"/>
        <v>6410666.3699999992</v>
      </c>
      <c r="J338" s="477">
        <f t="shared" si="20"/>
        <v>6219612.9899999993</v>
      </c>
      <c r="K338" s="477">
        <f t="shared" si="20"/>
        <v>20062783.229999997</v>
      </c>
      <c r="L338" s="477">
        <f t="shared" si="20"/>
        <v>84</v>
      </c>
      <c r="M338" s="477">
        <f t="shared" si="20"/>
        <v>105</v>
      </c>
      <c r="N338" s="477">
        <f t="shared" si="20"/>
        <v>40</v>
      </c>
      <c r="O338" s="477">
        <f t="shared" si="20"/>
        <v>229</v>
      </c>
      <c r="P338" s="477">
        <f t="shared" si="20"/>
        <v>22982221</v>
      </c>
      <c r="Q338" s="477">
        <f t="shared" si="20"/>
        <v>324922.28000000003</v>
      </c>
      <c r="R338" s="477">
        <f t="shared" si="20"/>
        <v>22052618.740000002</v>
      </c>
      <c r="S338" s="477">
        <f t="shared" si="20"/>
        <v>22377543.010000002</v>
      </c>
      <c r="T338" s="477">
        <f t="shared" si="20"/>
        <v>31794.129999999997</v>
      </c>
      <c r="U338" s="477">
        <f t="shared" si="20"/>
        <v>391956.94000000006</v>
      </c>
      <c r="V338" s="477">
        <f t="shared" si="20"/>
        <v>314326.48</v>
      </c>
      <c r="W338" s="477">
        <f t="shared" si="20"/>
        <v>22758901</v>
      </c>
      <c r="X338" s="477">
        <f t="shared" si="20"/>
        <v>3207148.52</v>
      </c>
      <c r="Y338" s="477">
        <f t="shared" si="20"/>
        <v>323.04000000000002</v>
      </c>
      <c r="Z338" s="477">
        <f t="shared" si="20"/>
        <v>22381163.530000001</v>
      </c>
      <c r="AA338" s="477">
        <f t="shared" si="20"/>
        <v>283717.33</v>
      </c>
      <c r="AB338" s="477">
        <f t="shared" si="20"/>
        <v>21589775.060000002</v>
      </c>
      <c r="AC338" s="477">
        <f t="shared" si="20"/>
        <v>21873494.380000003</v>
      </c>
      <c r="AD338" s="477">
        <f t="shared" si="20"/>
        <v>31851.970000000016</v>
      </c>
      <c r="AE338" s="477">
        <f t="shared" si="20"/>
        <v>-253028.38</v>
      </c>
      <c r="AF338" s="477">
        <f t="shared" si="20"/>
        <v>295339.42</v>
      </c>
      <c r="AG338" s="477">
        <f t="shared" si="20"/>
        <v>21632086.59</v>
      </c>
      <c r="AH338" s="477">
        <f t="shared" si="20"/>
        <v>2310481.86</v>
      </c>
      <c r="AI338" s="477">
        <f t="shared" si="20"/>
        <v>23481837405.350002</v>
      </c>
      <c r="AJ338" s="477">
        <f t="shared" si="20"/>
        <v>18920234.930000003</v>
      </c>
      <c r="AK338" s="477">
        <f t="shared" si="20"/>
        <v>34234.83</v>
      </c>
      <c r="AL338" s="477"/>
      <c r="AM338" s="477">
        <f t="shared" si="20"/>
        <v>27548539.447143324</v>
      </c>
      <c r="AN338" s="451"/>
      <c r="AO338" s="566"/>
      <c r="AP338" s="567"/>
    </row>
    <row r="339" spans="1:42" s="12" customFormat="1" ht="13.5" thickBot="1">
      <c r="A339" s="484"/>
      <c r="B339" s="485"/>
      <c r="C339" s="486"/>
      <c r="D339" s="487"/>
      <c r="E339" s="488"/>
      <c r="F339" s="489"/>
      <c r="G339" s="488"/>
      <c r="H339" s="488"/>
      <c r="I339" s="488"/>
      <c r="J339" s="489"/>
      <c r="K339" s="488"/>
      <c r="L339" s="490"/>
      <c r="M339" s="490"/>
      <c r="N339" s="490"/>
      <c r="O339" s="490"/>
      <c r="P339" s="490"/>
      <c r="Q339" s="490"/>
      <c r="R339" s="490"/>
      <c r="S339" s="490"/>
      <c r="T339" s="491"/>
      <c r="U339" s="490"/>
      <c r="V339" s="490"/>
      <c r="W339" s="490"/>
      <c r="X339" s="490"/>
      <c r="Y339" s="490"/>
      <c r="Z339" s="490"/>
      <c r="AA339" s="490"/>
      <c r="AB339" s="490"/>
      <c r="AC339" s="490"/>
      <c r="AD339" s="490"/>
      <c r="AE339" s="490"/>
      <c r="AF339" s="490"/>
      <c r="AG339" s="490"/>
      <c r="AH339" s="490"/>
      <c r="AI339" s="490"/>
      <c r="AJ339" s="490"/>
      <c r="AK339" s="490"/>
      <c r="AL339" s="490"/>
      <c r="AM339" s="490"/>
      <c r="AN339" s="478"/>
      <c r="AO339" s="566"/>
      <c r="AP339" s="567"/>
    </row>
    <row r="340" spans="1:42" s="74" customFormat="1">
      <c r="A340" s="267"/>
      <c r="B340" s="267"/>
      <c r="C340" s="268"/>
      <c r="D340" s="269"/>
      <c r="E340" s="269"/>
      <c r="F340" s="321"/>
      <c r="G340" s="269"/>
      <c r="H340" s="269"/>
      <c r="I340" s="269"/>
      <c r="J340" s="269"/>
      <c r="K340" s="269"/>
      <c r="L340" s="408"/>
      <c r="M340" s="408"/>
      <c r="N340" s="408"/>
      <c r="O340" s="408"/>
      <c r="P340" s="269"/>
      <c r="Q340" s="269"/>
      <c r="R340" s="269"/>
      <c r="S340" s="269"/>
      <c r="T340" s="465"/>
      <c r="U340" s="408"/>
      <c r="V340" s="269"/>
      <c r="W340" s="269"/>
      <c r="X340" s="269"/>
      <c r="Y340" s="408"/>
      <c r="Z340" s="269"/>
      <c r="AA340" s="269"/>
      <c r="AB340" s="269"/>
      <c r="AC340" s="269"/>
      <c r="AD340" s="270"/>
      <c r="AE340" s="269"/>
      <c r="AF340" s="269"/>
      <c r="AG340" s="269"/>
      <c r="AH340" s="269"/>
      <c r="AI340" s="270"/>
      <c r="AJ340" s="270"/>
      <c r="AK340" s="408"/>
      <c r="AL340" s="270"/>
      <c r="AM340" s="270"/>
      <c r="AN340" s="479"/>
      <c r="AO340" s="566"/>
      <c r="AP340" s="567"/>
    </row>
    <row r="341" spans="1:42" s="75" customFormat="1">
      <c r="A341" s="427"/>
      <c r="B341" s="428"/>
      <c r="C341" s="429"/>
      <c r="D341" s="430"/>
      <c r="E341" s="430"/>
      <c r="F341" s="431"/>
      <c r="G341" s="432"/>
      <c r="H341" s="450"/>
      <c r="I341" s="420"/>
      <c r="J341" s="420"/>
      <c r="K341" s="420"/>
      <c r="L341" s="433"/>
      <c r="M341" s="433"/>
      <c r="N341" s="433"/>
      <c r="O341" s="433"/>
      <c r="P341" s="434"/>
      <c r="Q341" s="434"/>
      <c r="R341" s="434"/>
      <c r="S341" s="434"/>
      <c r="T341" s="466"/>
      <c r="U341" s="436"/>
      <c r="V341" s="437"/>
      <c r="W341" s="436"/>
      <c r="X341" s="436"/>
      <c r="Y341" s="436"/>
      <c r="Z341" s="436"/>
      <c r="AA341" s="436"/>
      <c r="AB341" s="436"/>
      <c r="AC341" s="437"/>
      <c r="AD341" s="435"/>
      <c r="AE341" s="438"/>
      <c r="AF341" s="438"/>
      <c r="AG341" s="438"/>
      <c r="AH341" s="438"/>
      <c r="AI341" s="458"/>
      <c r="AJ341" s="717"/>
      <c r="AK341" s="717"/>
      <c r="AL341" s="717"/>
      <c r="AM341" s="459"/>
      <c r="AN341" s="271"/>
      <c r="AO341" s="566"/>
      <c r="AP341" s="567"/>
    </row>
    <row r="342" spans="1:42" s="75" customFormat="1">
      <c r="A342" s="434"/>
      <c r="B342" s="434"/>
      <c r="C342" s="439"/>
      <c r="D342" s="440"/>
      <c r="E342" s="431"/>
      <c r="F342" s="431"/>
      <c r="G342" s="434"/>
      <c r="H342" s="420"/>
      <c r="I342" s="420"/>
      <c r="J342" s="420"/>
      <c r="K342" s="420"/>
      <c r="L342" s="433"/>
      <c r="M342" s="433"/>
      <c r="N342" s="433"/>
      <c r="O342" s="433"/>
      <c r="P342" s="434"/>
      <c r="Q342" s="434"/>
      <c r="R342" s="434"/>
      <c r="S342" s="434"/>
      <c r="T342" s="467"/>
      <c r="U342" s="426"/>
      <c r="V342" s="78"/>
      <c r="W342" s="78"/>
      <c r="X342" s="78"/>
      <c r="Y342" s="426"/>
      <c r="Z342" s="78"/>
      <c r="AA342" s="78"/>
      <c r="AB342" s="78"/>
      <c r="AC342" s="78"/>
      <c r="AD342" s="441"/>
      <c r="AE342" s="78"/>
      <c r="AF342" s="78"/>
      <c r="AG342" s="78"/>
      <c r="AH342" s="78"/>
      <c r="AI342" s="460"/>
      <c r="AJ342" s="717"/>
      <c r="AK342" s="717"/>
      <c r="AL342" s="717"/>
      <c r="AM342" s="267"/>
      <c r="AN342" s="271"/>
      <c r="AO342" s="566"/>
      <c r="AP342" s="567"/>
    </row>
    <row r="343" spans="1:42" s="75" customFormat="1">
      <c r="A343" s="428"/>
      <c r="B343" s="428"/>
      <c r="C343" s="429"/>
      <c r="D343" s="418"/>
      <c r="E343" s="418"/>
      <c r="F343" s="418"/>
      <c r="G343" s="418"/>
      <c r="H343" s="418"/>
      <c r="I343" s="418"/>
      <c r="J343" s="418"/>
      <c r="K343" s="418"/>
      <c r="L343" s="418"/>
      <c r="M343" s="418"/>
      <c r="N343" s="418"/>
      <c r="O343" s="418"/>
      <c r="P343" s="418"/>
      <c r="Q343" s="418"/>
      <c r="R343" s="418"/>
      <c r="S343" s="418"/>
      <c r="T343" s="468"/>
      <c r="U343" s="418"/>
      <c r="V343" s="418"/>
      <c r="W343" s="418"/>
      <c r="X343" s="418"/>
      <c r="Y343" s="418"/>
      <c r="Z343" s="418"/>
      <c r="AA343" s="418"/>
      <c r="AB343" s="418"/>
      <c r="AC343" s="418"/>
      <c r="AD343" s="442"/>
      <c r="AE343" s="418"/>
      <c r="AF343" s="418"/>
      <c r="AG343" s="418"/>
      <c r="AH343" s="418"/>
      <c r="AI343" s="418"/>
      <c r="AJ343" s="418"/>
      <c r="AK343" s="418"/>
      <c r="AL343" s="418"/>
      <c r="AM343" s="418"/>
      <c r="AN343" s="271"/>
      <c r="AO343" s="566"/>
      <c r="AP343" s="567"/>
    </row>
    <row r="344" spans="1:42" s="75" customFormat="1">
      <c r="A344" s="443"/>
      <c r="B344" s="267"/>
      <c r="C344" s="268"/>
      <c r="D344" s="422"/>
      <c r="E344" s="422"/>
      <c r="F344" s="422"/>
      <c r="G344" s="422"/>
      <c r="H344" s="422"/>
      <c r="I344" s="419"/>
      <c r="J344" s="419"/>
      <c r="K344" s="419"/>
      <c r="L344" s="423"/>
      <c r="M344" s="423"/>
      <c r="N344" s="423"/>
      <c r="O344" s="423"/>
      <c r="P344" s="423"/>
      <c r="Q344" s="444"/>
      <c r="R344" s="433"/>
      <c r="S344" s="433"/>
      <c r="T344" s="467"/>
      <c r="U344" s="426"/>
      <c r="V344" s="426"/>
      <c r="W344" s="426"/>
      <c r="X344" s="426"/>
      <c r="Y344" s="426"/>
      <c r="Z344" s="408"/>
      <c r="AA344" s="408"/>
      <c r="AB344" s="408"/>
      <c r="AC344" s="408"/>
      <c r="AD344" s="441"/>
      <c r="AE344" s="408"/>
      <c r="AF344" s="408"/>
      <c r="AG344" s="408"/>
      <c r="AH344" s="408"/>
      <c r="AI344" s="426"/>
      <c r="AJ344" s="78"/>
      <c r="AK344" s="426"/>
      <c r="AL344" s="78"/>
      <c r="AM344" s="78"/>
      <c r="AN344" s="271"/>
      <c r="AO344" s="566"/>
      <c r="AP344" s="567"/>
    </row>
    <row r="345" spans="1:42" s="75" customFormat="1">
      <c r="A345" s="434"/>
      <c r="B345" s="434"/>
      <c r="C345" s="445"/>
      <c r="D345" s="421"/>
      <c r="E345" s="421"/>
      <c r="F345" s="421"/>
      <c r="G345" s="421"/>
      <c r="H345" s="421"/>
      <c r="I345" s="420"/>
      <c r="J345" s="420"/>
      <c r="K345" s="420"/>
      <c r="L345" s="421"/>
      <c r="M345" s="421"/>
      <c r="N345" s="421"/>
      <c r="O345" s="421"/>
      <c r="P345" s="433"/>
      <c r="Q345" s="433"/>
      <c r="R345" s="433"/>
      <c r="S345" s="433"/>
      <c r="T345" s="467"/>
      <c r="U345" s="426"/>
      <c r="V345" s="426"/>
      <c r="W345" s="426"/>
      <c r="X345" s="426"/>
      <c r="Y345" s="426"/>
      <c r="Z345" s="426"/>
      <c r="AA345" s="426"/>
      <c r="AB345" s="426"/>
      <c r="AC345" s="426"/>
      <c r="AD345" s="441"/>
      <c r="AE345" s="426"/>
      <c r="AF345" s="426"/>
      <c r="AG345" s="426"/>
      <c r="AH345" s="426"/>
      <c r="AI345" s="426"/>
      <c r="AJ345" s="78"/>
      <c r="AK345" s="426"/>
      <c r="AL345" s="78"/>
      <c r="AM345" s="78"/>
      <c r="AN345" s="271"/>
      <c r="AO345" s="566"/>
      <c r="AP345" s="567"/>
    </row>
    <row r="346" spans="1:42" s="75" customFormat="1">
      <c r="A346" s="428"/>
      <c r="B346" s="428"/>
      <c r="C346" s="429"/>
      <c r="D346" s="418"/>
      <c r="E346" s="418"/>
      <c r="F346" s="418"/>
      <c r="G346" s="418"/>
      <c r="H346" s="418"/>
      <c r="I346" s="418"/>
      <c r="J346" s="418"/>
      <c r="K346" s="418"/>
      <c r="L346" s="418"/>
      <c r="M346" s="418"/>
      <c r="N346" s="418"/>
      <c r="O346" s="418"/>
      <c r="P346" s="418"/>
      <c r="Q346" s="418"/>
      <c r="R346" s="418"/>
      <c r="S346" s="418"/>
      <c r="T346" s="468"/>
      <c r="U346" s="418"/>
      <c r="V346" s="418"/>
      <c r="W346" s="418"/>
      <c r="X346" s="418"/>
      <c r="Y346" s="418"/>
      <c r="Z346" s="418"/>
      <c r="AA346" s="418"/>
      <c r="AB346" s="418"/>
      <c r="AC346" s="418"/>
      <c r="AD346" s="442"/>
      <c r="AE346" s="418"/>
      <c r="AF346" s="418"/>
      <c r="AG346" s="418"/>
      <c r="AH346" s="418"/>
      <c r="AI346" s="418"/>
      <c r="AJ346" s="418"/>
      <c r="AK346" s="418"/>
      <c r="AL346" s="418"/>
      <c r="AM346" s="418"/>
      <c r="AN346" s="271"/>
    </row>
    <row r="347" spans="1:42" s="75" customFormat="1">
      <c r="A347" s="443"/>
      <c r="B347" s="267"/>
      <c r="C347" s="268"/>
      <c r="D347" s="422"/>
      <c r="E347" s="422"/>
      <c r="F347" s="422"/>
      <c r="G347" s="422"/>
      <c r="H347" s="422"/>
      <c r="I347" s="419"/>
      <c r="J347" s="419"/>
      <c r="K347" s="419"/>
      <c r="L347" s="423"/>
      <c r="M347" s="423"/>
      <c r="N347" s="423"/>
      <c r="O347" s="423"/>
      <c r="P347" s="423"/>
      <c r="Q347" s="444"/>
      <c r="R347" s="433"/>
      <c r="S347" s="433"/>
      <c r="T347" s="467"/>
      <c r="U347" s="426"/>
      <c r="V347" s="426"/>
      <c r="W347" s="426"/>
      <c r="X347" s="426"/>
      <c r="Y347" s="426"/>
      <c r="Z347" s="426"/>
      <c r="AA347" s="426"/>
      <c r="AB347" s="426"/>
      <c r="AC347" s="426"/>
      <c r="AD347" s="441"/>
      <c r="AE347" s="426"/>
      <c r="AF347" s="426"/>
      <c r="AG347" s="426"/>
      <c r="AH347" s="426"/>
      <c r="AI347" s="426"/>
      <c r="AJ347" s="78"/>
      <c r="AK347" s="426"/>
      <c r="AL347" s="78"/>
      <c r="AM347" s="78"/>
      <c r="AN347" s="271"/>
    </row>
    <row r="348" spans="1:42" s="75" customFormat="1">
      <c r="A348" s="443"/>
      <c r="B348" s="267"/>
      <c r="C348" s="268"/>
      <c r="D348" s="422"/>
      <c r="E348" s="422"/>
      <c r="F348" s="422"/>
      <c r="G348" s="422"/>
      <c r="H348" s="422"/>
      <c r="I348" s="419"/>
      <c r="J348" s="419"/>
      <c r="K348" s="419"/>
      <c r="L348" s="423"/>
      <c r="M348" s="423"/>
      <c r="N348" s="423"/>
      <c r="O348" s="423"/>
      <c r="P348" s="423"/>
      <c r="Q348" s="444"/>
      <c r="R348" s="433"/>
      <c r="S348" s="433"/>
      <c r="T348" s="467"/>
      <c r="U348" s="426"/>
      <c r="V348" s="426"/>
      <c r="W348" s="426"/>
      <c r="X348" s="426"/>
      <c r="Y348" s="426"/>
      <c r="Z348" s="426"/>
      <c r="AA348" s="426"/>
      <c r="AB348" s="426"/>
      <c r="AC348" s="426"/>
      <c r="AD348" s="441"/>
      <c r="AE348" s="426"/>
      <c r="AF348" s="426"/>
      <c r="AG348" s="426"/>
      <c r="AH348" s="426"/>
      <c r="AI348" s="426"/>
      <c r="AJ348" s="78"/>
      <c r="AK348" s="426"/>
      <c r="AL348" s="78"/>
      <c r="AM348" s="78"/>
      <c r="AN348" s="271"/>
    </row>
    <row r="349" spans="1:42" s="75" customFormat="1">
      <c r="A349" s="434"/>
      <c r="B349" s="434"/>
      <c r="C349" s="433"/>
      <c r="D349" s="421"/>
      <c r="E349" s="421"/>
      <c r="F349" s="421"/>
      <c r="G349" s="421"/>
      <c r="H349" s="421"/>
      <c r="I349" s="421"/>
      <c r="J349" s="421"/>
      <c r="K349" s="421"/>
      <c r="L349" s="421"/>
      <c r="M349" s="421"/>
      <c r="N349" s="421"/>
      <c r="O349" s="421"/>
      <c r="P349" s="433"/>
      <c r="Q349" s="433"/>
      <c r="R349" s="433"/>
      <c r="S349" s="433"/>
      <c r="T349" s="467"/>
      <c r="U349" s="426"/>
      <c r="V349" s="426"/>
      <c r="W349" s="426"/>
      <c r="X349" s="426"/>
      <c r="Y349" s="426"/>
      <c r="Z349" s="426"/>
      <c r="AA349" s="426"/>
      <c r="AB349" s="426"/>
      <c r="AC349" s="426"/>
      <c r="AD349" s="441"/>
      <c r="AE349" s="426"/>
      <c r="AF349" s="426"/>
      <c r="AG349" s="426"/>
      <c r="AH349" s="426"/>
      <c r="AI349" s="426"/>
      <c r="AJ349" s="78"/>
      <c r="AK349" s="426"/>
      <c r="AL349" s="78"/>
      <c r="AM349" s="78"/>
      <c r="AN349" s="271"/>
    </row>
    <row r="350" spans="1:42" s="75" customFormat="1">
      <c r="A350" s="428"/>
      <c r="B350" s="428"/>
      <c r="C350" s="429"/>
      <c r="D350" s="418"/>
      <c r="E350" s="418"/>
      <c r="F350" s="418"/>
      <c r="G350" s="418"/>
      <c r="H350" s="418"/>
      <c r="I350" s="418"/>
      <c r="J350" s="418"/>
      <c r="K350" s="418"/>
      <c r="L350" s="418"/>
      <c r="M350" s="418"/>
      <c r="N350" s="418"/>
      <c r="O350" s="418"/>
      <c r="P350" s="418"/>
      <c r="Q350" s="418"/>
      <c r="R350" s="418"/>
      <c r="S350" s="418"/>
      <c r="T350" s="468"/>
      <c r="U350" s="418"/>
      <c r="V350" s="418"/>
      <c r="W350" s="418"/>
      <c r="X350" s="418"/>
      <c r="Y350" s="418"/>
      <c r="Z350" s="418"/>
      <c r="AA350" s="418"/>
      <c r="AB350" s="418"/>
      <c r="AC350" s="418"/>
      <c r="AD350" s="442"/>
      <c r="AE350" s="418"/>
      <c r="AF350" s="418"/>
      <c r="AG350" s="418"/>
      <c r="AH350" s="418"/>
      <c r="AI350" s="418"/>
      <c r="AJ350" s="418"/>
      <c r="AK350" s="418"/>
      <c r="AL350" s="418"/>
      <c r="AM350" s="418"/>
      <c r="AN350" s="271"/>
    </row>
    <row r="351" spans="1:42" s="75" customFormat="1">
      <c r="A351" s="443"/>
      <c r="B351" s="267"/>
      <c r="C351" s="268"/>
      <c r="D351" s="422"/>
      <c r="E351" s="422"/>
      <c r="F351" s="422"/>
      <c r="G351" s="422"/>
      <c r="H351" s="422"/>
      <c r="I351" s="419"/>
      <c r="J351" s="419"/>
      <c r="K351" s="419"/>
      <c r="L351" s="423"/>
      <c r="M351" s="423"/>
      <c r="N351" s="423"/>
      <c r="O351" s="423"/>
      <c r="P351" s="423"/>
      <c r="Q351" s="444"/>
      <c r="R351" s="433"/>
      <c r="S351" s="433"/>
      <c r="T351" s="467"/>
      <c r="U351" s="426"/>
      <c r="V351" s="426"/>
      <c r="W351" s="426"/>
      <c r="X351" s="426"/>
      <c r="Y351" s="426"/>
      <c r="Z351" s="426"/>
      <c r="AA351" s="426"/>
      <c r="AB351" s="426"/>
      <c r="AC351" s="426"/>
      <c r="AD351" s="441"/>
      <c r="AE351" s="426"/>
      <c r="AF351" s="426"/>
      <c r="AG351" s="426"/>
      <c r="AH351" s="426"/>
      <c r="AI351" s="426"/>
      <c r="AJ351" s="78"/>
      <c r="AK351" s="426"/>
      <c r="AL351" s="78"/>
      <c r="AM351" s="78"/>
      <c r="AN351" s="271"/>
    </row>
    <row r="352" spans="1:42" s="75" customFormat="1">
      <c r="A352" s="443"/>
      <c r="B352" s="267"/>
      <c r="C352" s="268"/>
      <c r="D352" s="422"/>
      <c r="E352" s="422"/>
      <c r="F352" s="422"/>
      <c r="G352" s="422"/>
      <c r="H352" s="422"/>
      <c r="I352" s="419"/>
      <c r="J352" s="419"/>
      <c r="K352" s="419"/>
      <c r="L352" s="423"/>
      <c r="M352" s="423"/>
      <c r="N352" s="423"/>
      <c r="O352" s="423"/>
      <c r="P352" s="423"/>
      <c r="Q352" s="444"/>
      <c r="R352" s="433"/>
      <c r="S352" s="433"/>
      <c r="T352" s="467"/>
      <c r="U352" s="426"/>
      <c r="V352" s="426"/>
      <c r="W352" s="426"/>
      <c r="X352" s="426"/>
      <c r="Y352" s="426"/>
      <c r="Z352" s="426"/>
      <c r="AA352" s="426"/>
      <c r="AB352" s="426"/>
      <c r="AC352" s="426"/>
      <c r="AD352" s="441"/>
      <c r="AE352" s="426"/>
      <c r="AF352" s="426"/>
      <c r="AG352" s="426"/>
      <c r="AH352" s="426"/>
      <c r="AI352" s="426"/>
      <c r="AJ352" s="78"/>
      <c r="AK352" s="426"/>
      <c r="AL352" s="78"/>
      <c r="AM352" s="78"/>
      <c r="AN352" s="271"/>
    </row>
    <row r="353" spans="1:40" s="75" customFormat="1">
      <c r="A353" s="443"/>
      <c r="B353" s="267"/>
      <c r="C353" s="268"/>
      <c r="D353" s="422"/>
      <c r="E353" s="422"/>
      <c r="F353" s="422"/>
      <c r="G353" s="422"/>
      <c r="H353" s="422"/>
      <c r="I353" s="419"/>
      <c r="J353" s="419"/>
      <c r="K353" s="419"/>
      <c r="L353" s="423"/>
      <c r="M353" s="423"/>
      <c r="N353" s="423"/>
      <c r="O353" s="423"/>
      <c r="P353" s="423"/>
      <c r="Q353" s="444"/>
      <c r="R353" s="433"/>
      <c r="S353" s="433"/>
      <c r="T353" s="467"/>
      <c r="U353" s="426"/>
      <c r="V353" s="426"/>
      <c r="W353" s="426"/>
      <c r="X353" s="426"/>
      <c r="Y353" s="426"/>
      <c r="Z353" s="426"/>
      <c r="AA353" s="426"/>
      <c r="AB353" s="426"/>
      <c r="AC353" s="426"/>
      <c r="AD353" s="441"/>
      <c r="AE353" s="426"/>
      <c r="AF353" s="426"/>
      <c r="AG353" s="426"/>
      <c r="AH353" s="426"/>
      <c r="AI353" s="426"/>
      <c r="AJ353" s="78"/>
      <c r="AK353" s="426"/>
      <c r="AL353" s="78"/>
      <c r="AM353" s="78"/>
      <c r="AN353" s="271"/>
    </row>
    <row r="354" spans="1:40" s="75" customFormat="1">
      <c r="A354" s="434"/>
      <c r="B354" s="434"/>
      <c r="C354" s="439"/>
      <c r="D354" s="424"/>
      <c r="E354" s="424"/>
      <c r="F354" s="424"/>
      <c r="G354" s="422"/>
      <c r="H354" s="422"/>
      <c r="I354" s="421"/>
      <c r="J354" s="421"/>
      <c r="K354" s="425"/>
      <c r="L354" s="421"/>
      <c r="M354" s="421"/>
      <c r="N354" s="421"/>
      <c r="O354" s="421"/>
      <c r="P354" s="433"/>
      <c r="Q354" s="433"/>
      <c r="R354" s="433"/>
      <c r="S354" s="433"/>
      <c r="T354" s="467"/>
      <c r="U354" s="426"/>
      <c r="V354" s="426"/>
      <c r="W354" s="426"/>
      <c r="X354" s="426"/>
      <c r="Y354" s="426"/>
      <c r="Z354" s="426"/>
      <c r="AA354" s="426"/>
      <c r="AB354" s="426"/>
      <c r="AC354" s="426"/>
      <c r="AD354" s="441"/>
      <c r="AE354" s="426"/>
      <c r="AF354" s="426"/>
      <c r="AG354" s="426"/>
      <c r="AH354" s="426"/>
      <c r="AI354" s="426"/>
      <c r="AJ354" s="78"/>
      <c r="AK354" s="426"/>
      <c r="AL354" s="78"/>
      <c r="AM354" s="78"/>
      <c r="AN354" s="271"/>
    </row>
    <row r="355" spans="1:40" s="75" customFormat="1">
      <c r="A355" s="428"/>
      <c r="B355" s="427"/>
      <c r="C355" s="429"/>
      <c r="D355" s="418"/>
      <c r="E355" s="418"/>
      <c r="F355" s="418"/>
      <c r="G355" s="418"/>
      <c r="H355" s="418"/>
      <c r="I355" s="418"/>
      <c r="J355" s="418"/>
      <c r="K355" s="418"/>
      <c r="L355" s="418"/>
      <c r="M355" s="418"/>
      <c r="N355" s="418"/>
      <c r="O355" s="418"/>
      <c r="P355" s="418"/>
      <c r="Q355" s="418"/>
      <c r="R355" s="418"/>
      <c r="S355" s="418"/>
      <c r="T355" s="468"/>
      <c r="U355" s="418"/>
      <c r="V355" s="418"/>
      <c r="W355" s="418"/>
      <c r="X355" s="418"/>
      <c r="Y355" s="418"/>
      <c r="Z355" s="418"/>
      <c r="AA355" s="418"/>
      <c r="AB355" s="418"/>
      <c r="AC355" s="418"/>
      <c r="AD355" s="442"/>
      <c r="AE355" s="418"/>
      <c r="AF355" s="418"/>
      <c r="AG355" s="418"/>
      <c r="AH355" s="418"/>
      <c r="AI355" s="418"/>
      <c r="AJ355" s="418"/>
      <c r="AK355" s="418"/>
      <c r="AL355" s="418"/>
      <c r="AM355" s="418"/>
      <c r="AN355" s="271"/>
    </row>
    <row r="356" spans="1:40" s="75" customFormat="1">
      <c r="A356" s="443"/>
      <c r="B356" s="267"/>
      <c r="C356" s="268"/>
      <c r="D356" s="422"/>
      <c r="E356" s="422"/>
      <c r="F356" s="422"/>
      <c r="G356" s="422"/>
      <c r="H356" s="422"/>
      <c r="I356" s="419"/>
      <c r="J356" s="419"/>
      <c r="K356" s="419"/>
      <c r="L356" s="423"/>
      <c r="M356" s="423"/>
      <c r="N356" s="423"/>
      <c r="O356" s="423"/>
      <c r="P356" s="423"/>
      <c r="Q356" s="444"/>
      <c r="R356" s="433"/>
      <c r="S356" s="433"/>
      <c r="T356" s="467"/>
      <c r="U356" s="426"/>
      <c r="V356" s="426"/>
      <c r="W356" s="426"/>
      <c r="X356" s="426"/>
      <c r="Y356" s="426"/>
      <c r="Z356" s="426"/>
      <c r="AA356" s="426"/>
      <c r="AB356" s="426"/>
      <c r="AC356" s="426"/>
      <c r="AD356" s="441"/>
      <c r="AE356" s="426"/>
      <c r="AF356" s="426"/>
      <c r="AG356" s="426"/>
      <c r="AH356" s="426"/>
      <c r="AI356" s="426"/>
      <c r="AJ356" s="78"/>
      <c r="AK356" s="426"/>
      <c r="AL356" s="78"/>
      <c r="AM356" s="78"/>
      <c r="AN356" s="271"/>
    </row>
    <row r="357" spans="1:40" s="75" customFormat="1">
      <c r="A357" s="443"/>
      <c r="B357" s="267"/>
      <c r="C357" s="268"/>
      <c r="D357" s="422"/>
      <c r="E357" s="422"/>
      <c r="F357" s="422"/>
      <c r="G357" s="422"/>
      <c r="H357" s="422"/>
      <c r="I357" s="419"/>
      <c r="J357" s="419"/>
      <c r="K357" s="419"/>
      <c r="L357" s="423"/>
      <c r="M357" s="423"/>
      <c r="N357" s="423"/>
      <c r="O357" s="423"/>
      <c r="P357" s="423"/>
      <c r="Q357" s="444"/>
      <c r="R357" s="433"/>
      <c r="S357" s="433"/>
      <c r="T357" s="467"/>
      <c r="U357" s="426"/>
      <c r="V357" s="426"/>
      <c r="W357" s="426"/>
      <c r="X357" s="426"/>
      <c r="Y357" s="426"/>
      <c r="Z357" s="426"/>
      <c r="AA357" s="426"/>
      <c r="AB357" s="426"/>
      <c r="AC357" s="426"/>
      <c r="AD357" s="441"/>
      <c r="AE357" s="426"/>
      <c r="AF357" s="426"/>
      <c r="AG357" s="426"/>
      <c r="AH357" s="426"/>
      <c r="AI357" s="426"/>
      <c r="AJ357" s="78"/>
      <c r="AK357" s="426"/>
      <c r="AL357" s="78"/>
      <c r="AM357" s="78"/>
      <c r="AN357" s="271"/>
    </row>
    <row r="358" spans="1:40" s="75" customFormat="1">
      <c r="A358" s="443"/>
      <c r="B358" s="267"/>
      <c r="C358" s="268"/>
      <c r="D358" s="422"/>
      <c r="E358" s="422"/>
      <c r="F358" s="422"/>
      <c r="G358" s="422"/>
      <c r="H358" s="422"/>
      <c r="I358" s="419"/>
      <c r="J358" s="419"/>
      <c r="K358" s="419"/>
      <c r="L358" s="423"/>
      <c r="M358" s="423"/>
      <c r="N358" s="423"/>
      <c r="O358" s="423"/>
      <c r="P358" s="423"/>
      <c r="Q358" s="444"/>
      <c r="R358" s="433"/>
      <c r="S358" s="433"/>
      <c r="T358" s="467"/>
      <c r="U358" s="426"/>
      <c r="V358" s="426"/>
      <c r="W358" s="426"/>
      <c r="X358" s="426"/>
      <c r="Y358" s="426"/>
      <c r="Z358" s="426"/>
      <c r="AA358" s="426"/>
      <c r="AB358" s="426"/>
      <c r="AC358" s="426"/>
      <c r="AD358" s="441"/>
      <c r="AE358" s="426"/>
      <c r="AF358" s="426"/>
      <c r="AG358" s="426"/>
      <c r="AH358" s="426"/>
      <c r="AI358" s="426"/>
      <c r="AJ358" s="78"/>
      <c r="AK358" s="426"/>
      <c r="AL358" s="78"/>
      <c r="AM358" s="78"/>
      <c r="AN358" s="271"/>
    </row>
    <row r="359" spans="1:40" s="75" customFormat="1">
      <c r="A359" s="434"/>
      <c r="B359" s="434"/>
      <c r="C359" s="439"/>
      <c r="D359" s="424"/>
      <c r="E359" s="424"/>
      <c r="F359" s="424"/>
      <c r="G359" s="422"/>
      <c r="H359" s="422"/>
      <c r="I359" s="421"/>
      <c r="J359" s="421"/>
      <c r="K359" s="425"/>
      <c r="L359" s="421"/>
      <c r="M359" s="421"/>
      <c r="N359" s="421"/>
      <c r="O359" s="421"/>
      <c r="P359" s="433"/>
      <c r="Q359" s="433"/>
      <c r="R359" s="433"/>
      <c r="S359" s="433"/>
      <c r="T359" s="467"/>
      <c r="U359" s="426"/>
      <c r="V359" s="426"/>
      <c r="W359" s="426"/>
      <c r="X359" s="426"/>
      <c r="Y359" s="426"/>
      <c r="Z359" s="426"/>
      <c r="AA359" s="426"/>
      <c r="AB359" s="426"/>
      <c r="AC359" s="426"/>
      <c r="AD359" s="441"/>
      <c r="AE359" s="426"/>
      <c r="AF359" s="426"/>
      <c r="AG359" s="426"/>
      <c r="AH359" s="426"/>
      <c r="AI359" s="426"/>
      <c r="AJ359" s="78"/>
      <c r="AK359" s="426"/>
      <c r="AL359" s="78"/>
      <c r="AM359" s="78"/>
      <c r="AN359" s="271"/>
    </row>
    <row r="360" spans="1:40" s="75" customFormat="1">
      <c r="A360" s="428"/>
      <c r="B360" s="427"/>
      <c r="C360" s="429"/>
      <c r="D360" s="418"/>
      <c r="E360" s="418"/>
      <c r="F360" s="418"/>
      <c r="G360" s="418"/>
      <c r="H360" s="418"/>
      <c r="I360" s="418"/>
      <c r="J360" s="418"/>
      <c r="K360" s="418"/>
      <c r="L360" s="418"/>
      <c r="M360" s="418"/>
      <c r="N360" s="418"/>
      <c r="O360" s="418"/>
      <c r="P360" s="418"/>
      <c r="Q360" s="418"/>
      <c r="R360" s="418"/>
      <c r="S360" s="418"/>
      <c r="T360" s="468"/>
      <c r="U360" s="418"/>
      <c r="V360" s="418"/>
      <c r="W360" s="418"/>
      <c r="X360" s="418"/>
      <c r="Y360" s="418"/>
      <c r="Z360" s="418"/>
      <c r="AA360" s="418"/>
      <c r="AB360" s="418"/>
      <c r="AC360" s="418"/>
      <c r="AD360" s="442"/>
      <c r="AE360" s="418"/>
      <c r="AF360" s="418"/>
      <c r="AG360" s="418"/>
      <c r="AH360" s="418"/>
      <c r="AI360" s="418"/>
      <c r="AJ360" s="418"/>
      <c r="AK360" s="418"/>
      <c r="AL360" s="418"/>
      <c r="AM360" s="418"/>
      <c r="AN360" s="271"/>
    </row>
    <row r="361" spans="1:40" s="75" customFormat="1">
      <c r="A361" s="443"/>
      <c r="B361" s="267"/>
      <c r="C361" s="268"/>
      <c r="D361" s="422"/>
      <c r="E361" s="422"/>
      <c r="F361" s="422"/>
      <c r="G361" s="422"/>
      <c r="H361" s="422"/>
      <c r="I361" s="419"/>
      <c r="J361" s="419"/>
      <c r="K361" s="419"/>
      <c r="L361" s="423"/>
      <c r="M361" s="423"/>
      <c r="N361" s="423"/>
      <c r="O361" s="423"/>
      <c r="P361" s="423"/>
      <c r="Q361" s="444"/>
      <c r="R361" s="433"/>
      <c r="S361" s="433"/>
      <c r="T361" s="467"/>
      <c r="U361" s="426"/>
      <c r="V361" s="426"/>
      <c r="W361" s="426"/>
      <c r="X361" s="426"/>
      <c r="Y361" s="426"/>
      <c r="Z361" s="426"/>
      <c r="AA361" s="426"/>
      <c r="AB361" s="426"/>
      <c r="AC361" s="426"/>
      <c r="AD361" s="441"/>
      <c r="AE361" s="426"/>
      <c r="AF361" s="426"/>
      <c r="AG361" s="426"/>
      <c r="AH361" s="426"/>
      <c r="AI361" s="426"/>
      <c r="AJ361" s="78"/>
      <c r="AK361" s="426"/>
      <c r="AL361" s="78"/>
      <c r="AM361" s="78"/>
      <c r="AN361" s="271"/>
    </row>
    <row r="362" spans="1:40" s="75" customFormat="1">
      <c r="A362" s="443"/>
      <c r="B362" s="267"/>
      <c r="C362" s="268"/>
      <c r="D362" s="422"/>
      <c r="E362" s="422"/>
      <c r="F362" s="422"/>
      <c r="G362" s="422"/>
      <c r="H362" s="422"/>
      <c r="I362" s="419"/>
      <c r="J362" s="419"/>
      <c r="K362" s="419"/>
      <c r="L362" s="423"/>
      <c r="M362" s="423"/>
      <c r="N362" s="423"/>
      <c r="O362" s="423"/>
      <c r="P362" s="423"/>
      <c r="Q362" s="444"/>
      <c r="R362" s="433"/>
      <c r="S362" s="433"/>
      <c r="T362" s="467"/>
      <c r="U362" s="426"/>
      <c r="V362" s="426"/>
      <c r="W362" s="426"/>
      <c r="X362" s="426"/>
      <c r="Y362" s="426"/>
      <c r="Z362" s="426"/>
      <c r="AA362" s="426"/>
      <c r="AB362" s="426"/>
      <c r="AC362" s="426"/>
      <c r="AD362" s="441"/>
      <c r="AE362" s="426"/>
      <c r="AF362" s="426"/>
      <c r="AG362" s="426"/>
      <c r="AH362" s="426"/>
      <c r="AI362" s="426"/>
      <c r="AJ362" s="78"/>
      <c r="AK362" s="426"/>
      <c r="AL362" s="78"/>
      <c r="AM362" s="78"/>
      <c r="AN362" s="271"/>
    </row>
    <row r="363" spans="1:40" s="75" customFormat="1">
      <c r="A363" s="443"/>
      <c r="B363" s="267"/>
      <c r="C363" s="268"/>
      <c r="D363" s="422"/>
      <c r="E363" s="422"/>
      <c r="F363" s="422"/>
      <c r="G363" s="422"/>
      <c r="H363" s="422"/>
      <c r="I363" s="419"/>
      <c r="J363" s="419"/>
      <c r="K363" s="419"/>
      <c r="L363" s="423"/>
      <c r="M363" s="423"/>
      <c r="N363" s="423"/>
      <c r="O363" s="423"/>
      <c r="P363" s="423"/>
      <c r="Q363" s="444"/>
      <c r="R363" s="433"/>
      <c r="S363" s="433"/>
      <c r="T363" s="467"/>
      <c r="U363" s="426"/>
      <c r="V363" s="426"/>
      <c r="W363" s="426"/>
      <c r="X363" s="426"/>
      <c r="Y363" s="426"/>
      <c r="Z363" s="426"/>
      <c r="AA363" s="426"/>
      <c r="AB363" s="426"/>
      <c r="AC363" s="426"/>
      <c r="AD363" s="441"/>
      <c r="AE363" s="426"/>
      <c r="AF363" s="426"/>
      <c r="AG363" s="426"/>
      <c r="AH363" s="426"/>
      <c r="AI363" s="426"/>
      <c r="AJ363" s="78"/>
      <c r="AK363" s="426"/>
      <c r="AL363" s="78"/>
      <c r="AM363" s="78"/>
      <c r="AN363" s="271"/>
    </row>
    <row r="364" spans="1:40" s="75" customFormat="1">
      <c r="A364" s="443"/>
      <c r="B364" s="267"/>
      <c r="C364" s="268"/>
      <c r="D364" s="422"/>
      <c r="E364" s="422"/>
      <c r="F364" s="422"/>
      <c r="G364" s="422"/>
      <c r="H364" s="422"/>
      <c r="I364" s="419"/>
      <c r="J364" s="419"/>
      <c r="K364" s="419"/>
      <c r="L364" s="423"/>
      <c r="M364" s="423"/>
      <c r="N364" s="423"/>
      <c r="O364" s="423"/>
      <c r="P364" s="423"/>
      <c r="Q364" s="444"/>
      <c r="R364" s="433"/>
      <c r="S364" s="433"/>
      <c r="T364" s="467"/>
      <c r="U364" s="426"/>
      <c r="V364" s="426"/>
      <c r="W364" s="426"/>
      <c r="X364" s="426"/>
      <c r="Y364" s="426"/>
      <c r="Z364" s="426"/>
      <c r="AA364" s="426"/>
      <c r="AB364" s="426"/>
      <c r="AC364" s="426"/>
      <c r="AD364" s="441"/>
      <c r="AE364" s="426"/>
      <c r="AF364" s="426"/>
      <c r="AG364" s="426"/>
      <c r="AH364" s="426"/>
      <c r="AI364" s="426"/>
      <c r="AJ364" s="78"/>
      <c r="AK364" s="426"/>
      <c r="AL364" s="78"/>
      <c r="AM364" s="78"/>
      <c r="AN364" s="271"/>
    </row>
    <row r="365" spans="1:40" s="75" customFormat="1">
      <c r="A365" s="443"/>
      <c r="B365" s="267"/>
      <c r="C365" s="268"/>
      <c r="D365" s="422"/>
      <c r="E365" s="422"/>
      <c r="F365" s="422"/>
      <c r="G365" s="422"/>
      <c r="H365" s="422"/>
      <c r="I365" s="419"/>
      <c r="J365" s="419"/>
      <c r="K365" s="419"/>
      <c r="L365" s="423"/>
      <c r="M365" s="423"/>
      <c r="N365" s="423"/>
      <c r="O365" s="423"/>
      <c r="P365" s="423"/>
      <c r="Q365" s="444"/>
      <c r="R365" s="433"/>
      <c r="S365" s="433"/>
      <c r="T365" s="467"/>
      <c r="U365" s="426"/>
      <c r="V365" s="426"/>
      <c r="W365" s="426"/>
      <c r="X365" s="426"/>
      <c r="Y365" s="426"/>
      <c r="Z365" s="426"/>
      <c r="AA365" s="426"/>
      <c r="AB365" s="426"/>
      <c r="AC365" s="426"/>
      <c r="AD365" s="441"/>
      <c r="AE365" s="426"/>
      <c r="AF365" s="426"/>
      <c r="AG365" s="426"/>
      <c r="AH365" s="426"/>
      <c r="AI365" s="426"/>
      <c r="AJ365" s="78"/>
      <c r="AK365" s="426"/>
      <c r="AL365" s="78"/>
      <c r="AM365" s="78"/>
      <c r="AN365" s="271"/>
    </row>
    <row r="366" spans="1:40" s="75" customFormat="1">
      <c r="A366" s="443"/>
      <c r="B366" s="267"/>
      <c r="C366" s="268"/>
      <c r="D366" s="422"/>
      <c r="E366" s="422"/>
      <c r="F366" s="422"/>
      <c r="G366" s="422"/>
      <c r="H366" s="422"/>
      <c r="I366" s="419"/>
      <c r="J366" s="419"/>
      <c r="K366" s="419"/>
      <c r="L366" s="423"/>
      <c r="M366" s="423"/>
      <c r="N366" s="423"/>
      <c r="O366" s="423"/>
      <c r="P366" s="423"/>
      <c r="Q366" s="444"/>
      <c r="R366" s="433"/>
      <c r="S366" s="433"/>
      <c r="T366" s="467"/>
      <c r="U366" s="426"/>
      <c r="V366" s="426"/>
      <c r="W366" s="426"/>
      <c r="X366" s="426"/>
      <c r="Y366" s="426"/>
      <c r="Z366" s="426"/>
      <c r="AA366" s="426"/>
      <c r="AB366" s="426"/>
      <c r="AC366" s="426"/>
      <c r="AD366" s="441"/>
      <c r="AE366" s="426"/>
      <c r="AF366" s="426"/>
      <c r="AG366" s="426"/>
      <c r="AH366" s="426"/>
      <c r="AI366" s="426"/>
      <c r="AJ366" s="78"/>
      <c r="AK366" s="426"/>
      <c r="AL366" s="78"/>
      <c r="AM366" s="78"/>
      <c r="AN366" s="271"/>
    </row>
    <row r="367" spans="1:40" s="75" customFormat="1">
      <c r="A367" s="434"/>
      <c r="B367" s="434"/>
      <c r="C367" s="433"/>
      <c r="D367" s="421"/>
      <c r="E367" s="421"/>
      <c r="F367" s="421"/>
      <c r="G367" s="421"/>
      <c r="H367" s="421"/>
      <c r="I367" s="421"/>
      <c r="J367" s="421"/>
      <c r="K367" s="421"/>
      <c r="L367" s="421"/>
      <c r="M367" s="421"/>
      <c r="N367" s="421"/>
      <c r="O367" s="421"/>
      <c r="P367" s="433"/>
      <c r="Q367" s="433"/>
      <c r="R367" s="433"/>
      <c r="S367" s="433"/>
      <c r="T367" s="467"/>
      <c r="U367" s="426"/>
      <c r="V367" s="426"/>
      <c r="W367" s="426"/>
      <c r="X367" s="426"/>
      <c r="Y367" s="426"/>
      <c r="Z367" s="426"/>
      <c r="AA367" s="426"/>
      <c r="AB367" s="426"/>
      <c r="AC367" s="426"/>
      <c r="AD367" s="441"/>
      <c r="AE367" s="426"/>
      <c r="AF367" s="426"/>
      <c r="AG367" s="426"/>
      <c r="AH367" s="426"/>
      <c r="AI367" s="426"/>
      <c r="AJ367" s="78"/>
      <c r="AK367" s="426"/>
      <c r="AL367" s="78"/>
      <c r="AM367" s="78"/>
      <c r="AN367" s="271"/>
    </row>
    <row r="368" spans="1:40" s="75" customFormat="1">
      <c r="A368" s="428"/>
      <c r="B368" s="427"/>
      <c r="C368" s="429"/>
      <c r="D368" s="418"/>
      <c r="E368" s="418"/>
      <c r="F368" s="418"/>
      <c r="G368" s="418"/>
      <c r="H368" s="418"/>
      <c r="I368" s="418"/>
      <c r="J368" s="418"/>
      <c r="K368" s="418"/>
      <c r="L368" s="418"/>
      <c r="M368" s="418"/>
      <c r="N368" s="418"/>
      <c r="O368" s="418"/>
      <c r="P368" s="418"/>
      <c r="Q368" s="418"/>
      <c r="R368" s="418"/>
      <c r="S368" s="418"/>
      <c r="T368" s="468"/>
      <c r="U368" s="418"/>
      <c r="V368" s="418"/>
      <c r="W368" s="418"/>
      <c r="X368" s="418"/>
      <c r="Y368" s="418"/>
      <c r="Z368" s="418"/>
      <c r="AA368" s="418"/>
      <c r="AB368" s="418"/>
      <c r="AC368" s="418"/>
      <c r="AD368" s="442"/>
      <c r="AE368" s="418"/>
      <c r="AF368" s="418"/>
      <c r="AG368" s="418"/>
      <c r="AH368" s="418"/>
      <c r="AI368" s="418"/>
      <c r="AJ368" s="418"/>
      <c r="AK368" s="418"/>
      <c r="AL368" s="418"/>
      <c r="AM368" s="418"/>
      <c r="AN368" s="271"/>
    </row>
    <row r="369" spans="1:40" s="75" customFormat="1">
      <c r="A369" s="443"/>
      <c r="B369" s="267"/>
      <c r="C369" s="268"/>
      <c r="D369" s="422"/>
      <c r="E369" s="422"/>
      <c r="F369" s="422"/>
      <c r="G369" s="422"/>
      <c r="H369" s="422"/>
      <c r="I369" s="419"/>
      <c r="J369" s="419"/>
      <c r="K369" s="419"/>
      <c r="L369" s="423"/>
      <c r="M369" s="423"/>
      <c r="N369" s="423"/>
      <c r="O369" s="423"/>
      <c r="P369" s="423"/>
      <c r="Q369" s="444"/>
      <c r="R369" s="433"/>
      <c r="S369" s="433"/>
      <c r="T369" s="467"/>
      <c r="U369" s="426"/>
      <c r="V369" s="426"/>
      <c r="W369" s="426"/>
      <c r="X369" s="426"/>
      <c r="Y369" s="426"/>
      <c r="Z369" s="426"/>
      <c r="AA369" s="426"/>
      <c r="AB369" s="426"/>
      <c r="AC369" s="426"/>
      <c r="AD369" s="441"/>
      <c r="AE369" s="426"/>
      <c r="AF369" s="426"/>
      <c r="AG369" s="426"/>
      <c r="AH369" s="426"/>
      <c r="AI369" s="426"/>
      <c r="AJ369" s="78"/>
      <c r="AK369" s="426"/>
      <c r="AL369" s="78"/>
      <c r="AM369" s="78"/>
      <c r="AN369" s="271"/>
    </row>
    <row r="370" spans="1:40" s="75" customFormat="1">
      <c r="A370" s="443"/>
      <c r="B370" s="267"/>
      <c r="C370" s="268"/>
      <c r="D370" s="422"/>
      <c r="E370" s="422"/>
      <c r="F370" s="422"/>
      <c r="G370" s="422"/>
      <c r="H370" s="422"/>
      <c r="I370" s="419"/>
      <c r="J370" s="419"/>
      <c r="K370" s="419"/>
      <c r="L370" s="423"/>
      <c r="M370" s="423"/>
      <c r="N370" s="423"/>
      <c r="O370" s="423"/>
      <c r="P370" s="423"/>
      <c r="Q370" s="444"/>
      <c r="R370" s="433"/>
      <c r="S370" s="433"/>
      <c r="T370" s="467"/>
      <c r="U370" s="426"/>
      <c r="V370" s="426"/>
      <c r="W370" s="426"/>
      <c r="X370" s="426"/>
      <c r="Y370" s="426"/>
      <c r="Z370" s="426"/>
      <c r="AA370" s="426"/>
      <c r="AB370" s="426"/>
      <c r="AC370" s="426"/>
      <c r="AD370" s="441"/>
      <c r="AE370" s="426"/>
      <c r="AF370" s="426"/>
      <c r="AG370" s="426"/>
      <c r="AH370" s="426"/>
      <c r="AI370" s="426"/>
      <c r="AJ370" s="78"/>
      <c r="AK370" s="426"/>
      <c r="AL370" s="78"/>
      <c r="AM370" s="78"/>
      <c r="AN370" s="271"/>
    </row>
    <row r="371" spans="1:40" s="75" customFormat="1">
      <c r="A371" s="443"/>
      <c r="B371" s="267"/>
      <c r="C371" s="268"/>
      <c r="D371" s="422"/>
      <c r="E371" s="422"/>
      <c r="F371" s="422"/>
      <c r="G371" s="422"/>
      <c r="H371" s="422"/>
      <c r="I371" s="419"/>
      <c r="J371" s="419"/>
      <c r="K371" s="419"/>
      <c r="L371" s="423"/>
      <c r="M371" s="423"/>
      <c r="N371" s="423"/>
      <c r="O371" s="423"/>
      <c r="P371" s="423"/>
      <c r="Q371" s="444"/>
      <c r="R371" s="433"/>
      <c r="S371" s="433"/>
      <c r="T371" s="467"/>
      <c r="U371" s="426"/>
      <c r="V371" s="426"/>
      <c r="W371" s="426"/>
      <c r="X371" s="426"/>
      <c r="Y371" s="426"/>
      <c r="Z371" s="426"/>
      <c r="AA371" s="426"/>
      <c r="AB371" s="426"/>
      <c r="AC371" s="426"/>
      <c r="AD371" s="441"/>
      <c r="AE371" s="426"/>
      <c r="AF371" s="426"/>
      <c r="AG371" s="426"/>
      <c r="AH371" s="426"/>
      <c r="AI371" s="426"/>
      <c r="AJ371" s="78"/>
      <c r="AK371" s="426"/>
      <c r="AL371" s="78"/>
      <c r="AM371" s="78"/>
      <c r="AN371" s="271"/>
    </row>
    <row r="372" spans="1:40" s="75" customFormat="1">
      <c r="A372" s="443"/>
      <c r="B372" s="267"/>
      <c r="C372" s="268"/>
      <c r="D372" s="422"/>
      <c r="E372" s="422"/>
      <c r="F372" s="422"/>
      <c r="G372" s="422"/>
      <c r="H372" s="422"/>
      <c r="I372" s="419"/>
      <c r="J372" s="419"/>
      <c r="K372" s="419"/>
      <c r="L372" s="423"/>
      <c r="M372" s="423"/>
      <c r="N372" s="423"/>
      <c r="O372" s="423"/>
      <c r="P372" s="423"/>
      <c r="Q372" s="444"/>
      <c r="R372" s="433"/>
      <c r="S372" s="433"/>
      <c r="T372" s="467"/>
      <c r="U372" s="426"/>
      <c r="V372" s="426"/>
      <c r="W372" s="426"/>
      <c r="X372" s="426"/>
      <c r="Y372" s="426"/>
      <c r="Z372" s="426"/>
      <c r="AA372" s="426"/>
      <c r="AB372" s="426"/>
      <c r="AC372" s="426"/>
      <c r="AD372" s="441"/>
      <c r="AE372" s="426"/>
      <c r="AF372" s="426"/>
      <c r="AG372" s="426"/>
      <c r="AH372" s="426"/>
      <c r="AI372" s="426"/>
      <c r="AJ372" s="78"/>
      <c r="AK372" s="426"/>
      <c r="AL372" s="78"/>
      <c r="AM372" s="78"/>
      <c r="AN372" s="271"/>
    </row>
    <row r="373" spans="1:40" s="75" customFormat="1">
      <c r="A373" s="443"/>
      <c r="B373" s="267"/>
      <c r="C373" s="268"/>
      <c r="D373" s="422"/>
      <c r="E373" s="422"/>
      <c r="F373" s="422"/>
      <c r="G373" s="422"/>
      <c r="H373" s="422"/>
      <c r="I373" s="419"/>
      <c r="J373" s="419"/>
      <c r="K373" s="419"/>
      <c r="L373" s="423"/>
      <c r="M373" s="423"/>
      <c r="N373" s="423"/>
      <c r="O373" s="423"/>
      <c r="P373" s="423"/>
      <c r="Q373" s="444"/>
      <c r="R373" s="433"/>
      <c r="S373" s="433"/>
      <c r="T373" s="467"/>
      <c r="U373" s="426"/>
      <c r="V373" s="426"/>
      <c r="W373" s="426"/>
      <c r="X373" s="426"/>
      <c r="Y373" s="426"/>
      <c r="Z373" s="426"/>
      <c r="AA373" s="426"/>
      <c r="AB373" s="426"/>
      <c r="AC373" s="426"/>
      <c r="AD373" s="441"/>
      <c r="AE373" s="426"/>
      <c r="AF373" s="426"/>
      <c r="AG373" s="426"/>
      <c r="AH373" s="426"/>
      <c r="AI373" s="426"/>
      <c r="AJ373" s="78"/>
      <c r="AK373" s="426"/>
      <c r="AL373" s="78"/>
      <c r="AM373" s="78"/>
      <c r="AN373" s="271"/>
    </row>
    <row r="374" spans="1:40" s="75" customFormat="1">
      <c r="A374" s="443"/>
      <c r="B374" s="267"/>
      <c r="C374" s="268"/>
      <c r="D374" s="422"/>
      <c r="E374" s="422"/>
      <c r="F374" s="422"/>
      <c r="G374" s="422"/>
      <c r="H374" s="422"/>
      <c r="I374" s="419"/>
      <c r="J374" s="419"/>
      <c r="K374" s="419"/>
      <c r="L374" s="423"/>
      <c r="M374" s="423"/>
      <c r="N374" s="423"/>
      <c r="O374" s="423"/>
      <c r="P374" s="423"/>
      <c r="Q374" s="444"/>
      <c r="R374" s="433"/>
      <c r="S374" s="433"/>
      <c r="T374" s="467"/>
      <c r="U374" s="426"/>
      <c r="V374" s="426"/>
      <c r="W374" s="426"/>
      <c r="X374" s="426"/>
      <c r="Y374" s="426"/>
      <c r="Z374" s="426"/>
      <c r="AA374" s="426"/>
      <c r="AB374" s="426"/>
      <c r="AC374" s="426"/>
      <c r="AD374" s="441"/>
      <c r="AE374" s="426"/>
      <c r="AF374" s="426"/>
      <c r="AG374" s="426"/>
      <c r="AH374" s="426"/>
      <c r="AI374" s="426"/>
      <c r="AJ374" s="78"/>
      <c r="AK374" s="426"/>
      <c r="AL374" s="78"/>
      <c r="AM374" s="78"/>
      <c r="AN374" s="271"/>
    </row>
    <row r="375" spans="1:40" s="75" customFormat="1">
      <c r="A375" s="443"/>
      <c r="B375" s="267"/>
      <c r="C375" s="268"/>
      <c r="D375" s="422"/>
      <c r="E375" s="422"/>
      <c r="F375" s="422"/>
      <c r="G375" s="422"/>
      <c r="H375" s="422"/>
      <c r="I375" s="421"/>
      <c r="J375" s="421"/>
      <c r="K375" s="421"/>
      <c r="L375" s="423"/>
      <c r="M375" s="423"/>
      <c r="N375" s="423"/>
      <c r="O375" s="423"/>
      <c r="P375" s="433"/>
      <c r="Q375" s="444"/>
      <c r="R375" s="421"/>
      <c r="S375" s="421"/>
      <c r="T375" s="467"/>
      <c r="U375" s="426"/>
      <c r="V375" s="426"/>
      <c r="W375" s="426"/>
      <c r="X375" s="426"/>
      <c r="Y375" s="426"/>
      <c r="Z375" s="426"/>
      <c r="AA375" s="426"/>
      <c r="AB375" s="426"/>
      <c r="AC375" s="426"/>
      <c r="AD375" s="441"/>
      <c r="AE375" s="426"/>
      <c r="AF375" s="426"/>
      <c r="AG375" s="426"/>
      <c r="AH375" s="426"/>
      <c r="AI375" s="426"/>
      <c r="AJ375" s="78"/>
      <c r="AK375" s="426"/>
      <c r="AL375" s="78"/>
      <c r="AM375" s="78"/>
      <c r="AN375" s="271"/>
    </row>
    <row r="376" spans="1:40" s="75" customFormat="1">
      <c r="A376" s="434"/>
      <c r="B376" s="434"/>
      <c r="C376" s="439"/>
      <c r="D376" s="424"/>
      <c r="E376" s="424"/>
      <c r="F376" s="424"/>
      <c r="G376" s="422"/>
      <c r="H376" s="422"/>
      <c r="I376" s="421"/>
      <c r="J376" s="421"/>
      <c r="K376" s="425"/>
      <c r="L376" s="421"/>
      <c r="M376" s="421"/>
      <c r="N376" s="421"/>
      <c r="O376" s="421"/>
      <c r="P376" s="433"/>
      <c r="Q376" s="433"/>
      <c r="R376" s="433"/>
      <c r="S376" s="433"/>
      <c r="T376" s="467"/>
      <c r="U376" s="426"/>
      <c r="V376" s="426"/>
      <c r="W376" s="426"/>
      <c r="X376" s="426"/>
      <c r="Y376" s="426"/>
      <c r="Z376" s="426"/>
      <c r="AA376" s="426"/>
      <c r="AB376" s="426"/>
      <c r="AC376" s="426"/>
      <c r="AD376" s="441"/>
      <c r="AE376" s="426"/>
      <c r="AF376" s="426"/>
      <c r="AG376" s="426"/>
      <c r="AH376" s="426"/>
      <c r="AI376" s="426"/>
      <c r="AJ376" s="78"/>
      <c r="AK376" s="426"/>
      <c r="AL376" s="78"/>
      <c r="AM376" s="78"/>
      <c r="AN376" s="271"/>
    </row>
    <row r="377" spans="1:40" s="75" customFormat="1">
      <c r="A377" s="428"/>
      <c r="B377" s="427"/>
      <c r="C377" s="429"/>
      <c r="D377" s="418"/>
      <c r="E377" s="418"/>
      <c r="F377" s="418"/>
      <c r="G377" s="418"/>
      <c r="H377" s="418"/>
      <c r="I377" s="418"/>
      <c r="J377" s="418"/>
      <c r="K377" s="418"/>
      <c r="L377" s="418"/>
      <c r="M377" s="418"/>
      <c r="N377" s="418"/>
      <c r="O377" s="418"/>
      <c r="P377" s="418"/>
      <c r="Q377" s="418"/>
      <c r="R377" s="418"/>
      <c r="S377" s="418"/>
      <c r="T377" s="468"/>
      <c r="U377" s="418"/>
      <c r="V377" s="418"/>
      <c r="W377" s="418"/>
      <c r="X377" s="418"/>
      <c r="Y377" s="418"/>
      <c r="Z377" s="418"/>
      <c r="AA377" s="418"/>
      <c r="AB377" s="418"/>
      <c r="AC377" s="418"/>
      <c r="AD377" s="442"/>
      <c r="AE377" s="418"/>
      <c r="AF377" s="418"/>
      <c r="AG377" s="418"/>
      <c r="AH377" s="418"/>
      <c r="AI377" s="418"/>
      <c r="AJ377" s="418"/>
      <c r="AK377" s="418"/>
      <c r="AL377" s="418"/>
      <c r="AM377" s="418"/>
      <c r="AN377" s="271"/>
    </row>
    <row r="378" spans="1:40" s="75" customFormat="1">
      <c r="A378" s="443"/>
      <c r="B378" s="267"/>
      <c r="C378" s="268"/>
      <c r="D378" s="422"/>
      <c r="E378" s="422"/>
      <c r="F378" s="422"/>
      <c r="G378" s="422"/>
      <c r="H378" s="422"/>
      <c r="I378" s="419"/>
      <c r="J378" s="419"/>
      <c r="K378" s="419"/>
      <c r="L378" s="423"/>
      <c r="M378" s="423"/>
      <c r="N378" s="423"/>
      <c r="O378" s="423"/>
      <c r="P378" s="423"/>
      <c r="Q378" s="444"/>
      <c r="R378" s="433"/>
      <c r="S378" s="433"/>
      <c r="T378" s="467"/>
      <c r="U378" s="426"/>
      <c r="V378" s="426"/>
      <c r="W378" s="426"/>
      <c r="X378" s="426"/>
      <c r="Y378" s="426"/>
      <c r="Z378" s="426"/>
      <c r="AA378" s="426"/>
      <c r="AB378" s="426"/>
      <c r="AC378" s="426"/>
      <c r="AD378" s="441"/>
      <c r="AE378" s="426"/>
      <c r="AF378" s="426"/>
      <c r="AG378" s="426"/>
      <c r="AH378" s="426"/>
      <c r="AI378" s="426"/>
      <c r="AJ378" s="78"/>
      <c r="AK378" s="426"/>
      <c r="AL378" s="78"/>
      <c r="AM378" s="78"/>
      <c r="AN378" s="271"/>
    </row>
    <row r="379" spans="1:40" s="75" customFormat="1">
      <c r="A379" s="443"/>
      <c r="B379" s="267"/>
      <c r="C379" s="268"/>
      <c r="D379" s="422"/>
      <c r="E379" s="422"/>
      <c r="F379" s="422"/>
      <c r="G379" s="422"/>
      <c r="H379" s="422"/>
      <c r="I379" s="419"/>
      <c r="J379" s="419"/>
      <c r="K379" s="419"/>
      <c r="L379" s="423"/>
      <c r="M379" s="423"/>
      <c r="N379" s="423"/>
      <c r="O379" s="423"/>
      <c r="P379" s="423"/>
      <c r="Q379" s="444"/>
      <c r="R379" s="433"/>
      <c r="S379" s="433"/>
      <c r="T379" s="467"/>
      <c r="U379" s="426"/>
      <c r="V379" s="426"/>
      <c r="W379" s="426"/>
      <c r="X379" s="426"/>
      <c r="Y379" s="426"/>
      <c r="Z379" s="426"/>
      <c r="AA379" s="426"/>
      <c r="AB379" s="426"/>
      <c r="AC379" s="426"/>
      <c r="AD379" s="441"/>
      <c r="AE379" s="426"/>
      <c r="AF379" s="426"/>
      <c r="AG379" s="426"/>
      <c r="AH379" s="426"/>
      <c r="AI379" s="426"/>
      <c r="AJ379" s="78"/>
      <c r="AK379" s="426"/>
      <c r="AL379" s="78"/>
      <c r="AM379" s="78"/>
      <c r="AN379" s="271"/>
    </row>
    <row r="380" spans="1:40" s="75" customFormat="1">
      <c r="A380" s="443"/>
      <c r="B380" s="267"/>
      <c r="C380" s="268"/>
      <c r="D380" s="422"/>
      <c r="E380" s="422"/>
      <c r="F380" s="422"/>
      <c r="G380" s="422"/>
      <c r="H380" s="422"/>
      <c r="I380" s="419"/>
      <c r="J380" s="419"/>
      <c r="K380" s="419"/>
      <c r="L380" s="423"/>
      <c r="M380" s="423"/>
      <c r="N380" s="423"/>
      <c r="O380" s="423"/>
      <c r="P380" s="423"/>
      <c r="Q380" s="444"/>
      <c r="R380" s="433"/>
      <c r="S380" s="433"/>
      <c r="T380" s="467"/>
      <c r="U380" s="426"/>
      <c r="V380" s="426"/>
      <c r="W380" s="426"/>
      <c r="X380" s="426"/>
      <c r="Y380" s="426"/>
      <c r="Z380" s="426"/>
      <c r="AA380" s="426"/>
      <c r="AB380" s="426"/>
      <c r="AC380" s="426"/>
      <c r="AD380" s="441"/>
      <c r="AE380" s="426"/>
      <c r="AF380" s="426"/>
      <c r="AG380" s="426"/>
      <c r="AH380" s="426"/>
      <c r="AI380" s="426"/>
      <c r="AJ380" s="78"/>
      <c r="AK380" s="426"/>
      <c r="AL380" s="78"/>
      <c r="AM380" s="78"/>
      <c r="AN380" s="271"/>
    </row>
    <row r="381" spans="1:40" s="75" customFormat="1">
      <c r="A381" s="443"/>
      <c r="B381" s="267"/>
      <c r="C381" s="268"/>
      <c r="D381" s="422"/>
      <c r="E381" s="422"/>
      <c r="F381" s="422"/>
      <c r="G381" s="422"/>
      <c r="H381" s="422"/>
      <c r="I381" s="419"/>
      <c r="J381" s="419"/>
      <c r="K381" s="419"/>
      <c r="L381" s="423"/>
      <c r="M381" s="423"/>
      <c r="N381" s="423"/>
      <c r="O381" s="423"/>
      <c r="P381" s="423"/>
      <c r="Q381" s="444"/>
      <c r="R381" s="433"/>
      <c r="S381" s="433"/>
      <c r="T381" s="467"/>
      <c r="U381" s="426"/>
      <c r="V381" s="426"/>
      <c r="W381" s="426"/>
      <c r="X381" s="426"/>
      <c r="Y381" s="426"/>
      <c r="Z381" s="426"/>
      <c r="AA381" s="426"/>
      <c r="AB381" s="426"/>
      <c r="AC381" s="426"/>
      <c r="AD381" s="441"/>
      <c r="AE381" s="426"/>
      <c r="AF381" s="426"/>
      <c r="AG381" s="426"/>
      <c r="AH381" s="426"/>
      <c r="AI381" s="426"/>
      <c r="AJ381" s="78"/>
      <c r="AK381" s="426"/>
      <c r="AL381" s="78"/>
      <c r="AM381" s="78"/>
      <c r="AN381" s="271"/>
    </row>
    <row r="382" spans="1:40" s="75" customFormat="1">
      <c r="A382" s="443"/>
      <c r="B382" s="267"/>
      <c r="C382" s="268"/>
      <c r="D382" s="422"/>
      <c r="E382" s="422"/>
      <c r="F382" s="422"/>
      <c r="G382" s="422"/>
      <c r="H382" s="422"/>
      <c r="I382" s="419"/>
      <c r="J382" s="419"/>
      <c r="K382" s="419"/>
      <c r="L382" s="423"/>
      <c r="M382" s="423"/>
      <c r="N382" s="423"/>
      <c r="O382" s="423"/>
      <c r="P382" s="423"/>
      <c r="Q382" s="444"/>
      <c r="R382" s="433"/>
      <c r="S382" s="433"/>
      <c r="T382" s="467"/>
      <c r="U382" s="426"/>
      <c r="V382" s="426"/>
      <c r="W382" s="426"/>
      <c r="X382" s="426"/>
      <c r="Y382" s="426"/>
      <c r="Z382" s="426"/>
      <c r="AA382" s="426"/>
      <c r="AB382" s="426"/>
      <c r="AC382" s="426"/>
      <c r="AD382" s="441"/>
      <c r="AE382" s="426"/>
      <c r="AF382" s="426"/>
      <c r="AG382" s="426"/>
      <c r="AH382" s="426"/>
      <c r="AI382" s="426"/>
      <c r="AJ382" s="78"/>
      <c r="AK382" s="426"/>
      <c r="AL382" s="78"/>
      <c r="AM382" s="78"/>
      <c r="AN382" s="271"/>
    </row>
    <row r="383" spans="1:40" s="75" customFormat="1">
      <c r="A383" s="443"/>
      <c r="B383" s="267"/>
      <c r="C383" s="268"/>
      <c r="D383" s="422"/>
      <c r="E383" s="422"/>
      <c r="F383" s="422"/>
      <c r="G383" s="422"/>
      <c r="H383" s="422"/>
      <c r="I383" s="419"/>
      <c r="J383" s="419"/>
      <c r="K383" s="419"/>
      <c r="L383" s="423"/>
      <c r="M383" s="423"/>
      <c r="N383" s="423"/>
      <c r="O383" s="423"/>
      <c r="P383" s="423"/>
      <c r="Q383" s="444"/>
      <c r="R383" s="433"/>
      <c r="S383" s="433"/>
      <c r="T383" s="467"/>
      <c r="U383" s="426"/>
      <c r="V383" s="426"/>
      <c r="W383" s="426"/>
      <c r="X383" s="426"/>
      <c r="Y383" s="426"/>
      <c r="Z383" s="426"/>
      <c r="AA383" s="426"/>
      <c r="AB383" s="426"/>
      <c r="AC383" s="426"/>
      <c r="AD383" s="441"/>
      <c r="AE383" s="426"/>
      <c r="AF383" s="426"/>
      <c r="AG383" s="426"/>
      <c r="AH383" s="426"/>
      <c r="AI383" s="426"/>
      <c r="AJ383" s="78"/>
      <c r="AK383" s="426"/>
      <c r="AL383" s="78"/>
      <c r="AM383" s="78"/>
      <c r="AN383" s="271"/>
    </row>
    <row r="384" spans="1:40" s="75" customFormat="1">
      <c r="A384" s="434"/>
      <c r="B384" s="434"/>
      <c r="C384" s="439"/>
      <c r="D384" s="424"/>
      <c r="E384" s="424"/>
      <c r="F384" s="424"/>
      <c r="G384" s="422"/>
      <c r="H384" s="422"/>
      <c r="I384" s="421"/>
      <c r="J384" s="421"/>
      <c r="K384" s="425"/>
      <c r="L384" s="421"/>
      <c r="M384" s="421"/>
      <c r="N384" s="421"/>
      <c r="O384" s="421"/>
      <c r="P384" s="433"/>
      <c r="Q384" s="433"/>
      <c r="R384" s="433"/>
      <c r="S384" s="433"/>
      <c r="T384" s="467"/>
      <c r="U384" s="426"/>
      <c r="V384" s="426"/>
      <c r="W384" s="426"/>
      <c r="X384" s="426"/>
      <c r="Y384" s="426"/>
      <c r="Z384" s="426"/>
      <c r="AA384" s="426"/>
      <c r="AB384" s="426"/>
      <c r="AC384" s="426"/>
      <c r="AD384" s="441"/>
      <c r="AE384" s="426"/>
      <c r="AF384" s="426"/>
      <c r="AG384" s="426"/>
      <c r="AH384" s="426"/>
      <c r="AI384" s="426"/>
      <c r="AJ384" s="78"/>
      <c r="AK384" s="426"/>
      <c r="AL384" s="78"/>
      <c r="AM384" s="78"/>
      <c r="AN384" s="271"/>
    </row>
    <row r="385" spans="1:40" s="75" customFormat="1">
      <c r="A385" s="428"/>
      <c r="B385" s="427"/>
      <c r="C385" s="429"/>
      <c r="D385" s="418"/>
      <c r="E385" s="418"/>
      <c r="F385" s="418"/>
      <c r="G385" s="418"/>
      <c r="H385" s="418"/>
      <c r="I385" s="418"/>
      <c r="J385" s="418"/>
      <c r="K385" s="418"/>
      <c r="L385" s="418"/>
      <c r="M385" s="418"/>
      <c r="N385" s="418"/>
      <c r="O385" s="418"/>
      <c r="P385" s="418"/>
      <c r="Q385" s="418"/>
      <c r="R385" s="418"/>
      <c r="S385" s="418"/>
      <c r="T385" s="468"/>
      <c r="U385" s="418"/>
      <c r="V385" s="418"/>
      <c r="W385" s="418"/>
      <c r="X385" s="418"/>
      <c r="Y385" s="418"/>
      <c r="Z385" s="418"/>
      <c r="AA385" s="418"/>
      <c r="AB385" s="418"/>
      <c r="AC385" s="418"/>
      <c r="AD385" s="442"/>
      <c r="AE385" s="418"/>
      <c r="AF385" s="418"/>
      <c r="AG385" s="418"/>
      <c r="AH385" s="418"/>
      <c r="AI385" s="418"/>
      <c r="AJ385" s="418"/>
      <c r="AK385" s="418"/>
      <c r="AL385" s="418"/>
      <c r="AM385" s="418"/>
      <c r="AN385" s="271"/>
    </row>
    <row r="386" spans="1:40" s="75" customFormat="1">
      <c r="A386" s="443"/>
      <c r="B386" s="267"/>
      <c r="C386" s="268"/>
      <c r="D386" s="422"/>
      <c r="E386" s="422"/>
      <c r="F386" s="422"/>
      <c r="G386" s="422"/>
      <c r="H386" s="422"/>
      <c r="I386" s="419"/>
      <c r="J386" s="419"/>
      <c r="K386" s="419"/>
      <c r="L386" s="423"/>
      <c r="M386" s="423"/>
      <c r="N386" s="423"/>
      <c r="O386" s="423"/>
      <c r="P386" s="423"/>
      <c r="Q386" s="444"/>
      <c r="R386" s="433"/>
      <c r="S386" s="433"/>
      <c r="T386" s="467"/>
      <c r="U386" s="426"/>
      <c r="V386" s="426"/>
      <c r="W386" s="426"/>
      <c r="X386" s="426"/>
      <c r="Y386" s="426"/>
      <c r="Z386" s="426"/>
      <c r="AA386" s="426"/>
      <c r="AB386" s="426"/>
      <c r="AC386" s="426"/>
      <c r="AD386" s="441"/>
      <c r="AE386" s="426"/>
      <c r="AF386" s="426"/>
      <c r="AG386" s="426"/>
      <c r="AH386" s="426"/>
      <c r="AI386" s="426"/>
      <c r="AJ386" s="78"/>
      <c r="AK386" s="426"/>
      <c r="AL386" s="78"/>
      <c r="AM386" s="78"/>
      <c r="AN386" s="271"/>
    </row>
    <row r="387" spans="1:40" s="75" customFormat="1">
      <c r="A387" s="443"/>
      <c r="B387" s="267"/>
      <c r="C387" s="268"/>
      <c r="D387" s="422"/>
      <c r="E387" s="422"/>
      <c r="F387" s="422"/>
      <c r="G387" s="422"/>
      <c r="H387" s="422"/>
      <c r="I387" s="419"/>
      <c r="J387" s="419"/>
      <c r="K387" s="419"/>
      <c r="L387" s="423"/>
      <c r="M387" s="423"/>
      <c r="N387" s="423"/>
      <c r="O387" s="423"/>
      <c r="P387" s="423"/>
      <c r="Q387" s="444"/>
      <c r="R387" s="433"/>
      <c r="S387" s="433"/>
      <c r="T387" s="467"/>
      <c r="U387" s="426"/>
      <c r="V387" s="426"/>
      <c r="W387" s="426"/>
      <c r="X387" s="426"/>
      <c r="Y387" s="426"/>
      <c r="Z387" s="426"/>
      <c r="AA387" s="426"/>
      <c r="AB387" s="426"/>
      <c r="AC387" s="426"/>
      <c r="AD387" s="441"/>
      <c r="AE387" s="426"/>
      <c r="AF387" s="426"/>
      <c r="AG387" s="426"/>
      <c r="AH387" s="426"/>
      <c r="AI387" s="426"/>
      <c r="AJ387" s="78"/>
      <c r="AK387" s="426"/>
      <c r="AL387" s="78"/>
      <c r="AM387" s="78"/>
      <c r="AN387" s="271"/>
    </row>
    <row r="388" spans="1:40" s="75" customFormat="1">
      <c r="A388" s="443"/>
      <c r="B388" s="267"/>
      <c r="C388" s="268"/>
      <c r="D388" s="422"/>
      <c r="E388" s="422"/>
      <c r="F388" s="422"/>
      <c r="G388" s="422"/>
      <c r="H388" s="422"/>
      <c r="I388" s="419"/>
      <c r="J388" s="419"/>
      <c r="K388" s="419"/>
      <c r="L388" s="423"/>
      <c r="M388" s="423"/>
      <c r="N388" s="423"/>
      <c r="O388" s="423"/>
      <c r="P388" s="423"/>
      <c r="Q388" s="444"/>
      <c r="R388" s="433"/>
      <c r="S388" s="433"/>
      <c r="T388" s="467"/>
      <c r="U388" s="426"/>
      <c r="V388" s="426"/>
      <c r="W388" s="426"/>
      <c r="X388" s="426"/>
      <c r="Y388" s="426"/>
      <c r="Z388" s="426"/>
      <c r="AA388" s="426"/>
      <c r="AB388" s="426"/>
      <c r="AC388" s="426"/>
      <c r="AD388" s="441"/>
      <c r="AE388" s="426"/>
      <c r="AF388" s="426"/>
      <c r="AG388" s="426"/>
      <c r="AH388" s="426"/>
      <c r="AI388" s="426"/>
      <c r="AJ388" s="78"/>
      <c r="AK388" s="426"/>
      <c r="AL388" s="78"/>
      <c r="AM388" s="78"/>
      <c r="AN388" s="271"/>
    </row>
    <row r="389" spans="1:40" s="75" customFormat="1">
      <c r="A389" s="443"/>
      <c r="B389" s="267"/>
      <c r="C389" s="268"/>
      <c r="D389" s="422"/>
      <c r="E389" s="422"/>
      <c r="F389" s="422"/>
      <c r="G389" s="422"/>
      <c r="H389" s="422"/>
      <c r="I389" s="419"/>
      <c r="J389" s="419"/>
      <c r="K389" s="419"/>
      <c r="L389" s="423"/>
      <c r="M389" s="423"/>
      <c r="N389" s="423"/>
      <c r="O389" s="423"/>
      <c r="P389" s="423"/>
      <c r="Q389" s="444"/>
      <c r="R389" s="433"/>
      <c r="S389" s="433"/>
      <c r="T389" s="467"/>
      <c r="U389" s="426"/>
      <c r="V389" s="426"/>
      <c r="W389" s="426"/>
      <c r="X389" s="426"/>
      <c r="Y389" s="426"/>
      <c r="Z389" s="426"/>
      <c r="AA389" s="426"/>
      <c r="AB389" s="426"/>
      <c r="AC389" s="426"/>
      <c r="AD389" s="441"/>
      <c r="AE389" s="426"/>
      <c r="AF389" s="426"/>
      <c r="AG389" s="426"/>
      <c r="AH389" s="426"/>
      <c r="AI389" s="426"/>
      <c r="AJ389" s="78"/>
      <c r="AK389" s="426"/>
      <c r="AL389" s="78"/>
      <c r="AM389" s="78"/>
      <c r="AN389" s="271"/>
    </row>
    <row r="390" spans="1:40" s="75" customFormat="1">
      <c r="A390" s="443"/>
      <c r="B390" s="267"/>
      <c r="C390" s="268"/>
      <c r="D390" s="422"/>
      <c r="E390" s="422"/>
      <c r="F390" s="422"/>
      <c r="G390" s="422"/>
      <c r="H390" s="422"/>
      <c r="I390" s="419"/>
      <c r="J390" s="419"/>
      <c r="K390" s="419"/>
      <c r="L390" s="423"/>
      <c r="M390" s="423"/>
      <c r="N390" s="423"/>
      <c r="O390" s="423"/>
      <c r="P390" s="423"/>
      <c r="Q390" s="444"/>
      <c r="R390" s="433"/>
      <c r="S390" s="433"/>
      <c r="T390" s="467"/>
      <c r="U390" s="426"/>
      <c r="V390" s="426"/>
      <c r="W390" s="426"/>
      <c r="X390" s="426"/>
      <c r="Y390" s="426"/>
      <c r="Z390" s="426"/>
      <c r="AA390" s="426"/>
      <c r="AB390" s="426"/>
      <c r="AC390" s="426"/>
      <c r="AD390" s="441"/>
      <c r="AE390" s="426"/>
      <c r="AF390" s="426"/>
      <c r="AG390" s="426"/>
      <c r="AH390" s="426"/>
      <c r="AI390" s="426"/>
      <c r="AJ390" s="78"/>
      <c r="AK390" s="426"/>
      <c r="AL390" s="78"/>
      <c r="AM390" s="78"/>
      <c r="AN390" s="271"/>
    </row>
    <row r="391" spans="1:40" s="75" customFormat="1">
      <c r="A391" s="434"/>
      <c r="B391" s="434"/>
      <c r="C391" s="439"/>
      <c r="D391" s="424"/>
      <c r="E391" s="424"/>
      <c r="F391" s="424"/>
      <c r="G391" s="422"/>
      <c r="H391" s="422"/>
      <c r="I391" s="421"/>
      <c r="J391" s="421"/>
      <c r="K391" s="425"/>
      <c r="L391" s="421"/>
      <c r="M391" s="421"/>
      <c r="N391" s="421"/>
      <c r="O391" s="421"/>
      <c r="P391" s="433"/>
      <c r="Q391" s="433"/>
      <c r="R391" s="433"/>
      <c r="S391" s="433"/>
      <c r="T391" s="467"/>
      <c r="U391" s="426"/>
      <c r="V391" s="426"/>
      <c r="W391" s="426"/>
      <c r="X391" s="426"/>
      <c r="Y391" s="426"/>
      <c r="Z391" s="426"/>
      <c r="AA391" s="426"/>
      <c r="AB391" s="426"/>
      <c r="AC391" s="426"/>
      <c r="AD391" s="441"/>
      <c r="AE391" s="426"/>
      <c r="AF391" s="426"/>
      <c r="AG391" s="426"/>
      <c r="AH391" s="426"/>
      <c r="AI391" s="426"/>
      <c r="AJ391" s="78"/>
      <c r="AK391" s="426"/>
      <c r="AL391" s="78"/>
      <c r="AM391" s="78"/>
      <c r="AN391" s="271"/>
    </row>
    <row r="392" spans="1:40" s="75" customFormat="1">
      <c r="A392" s="428"/>
      <c r="B392" s="427"/>
      <c r="C392" s="446"/>
      <c r="D392" s="418"/>
      <c r="E392" s="418"/>
      <c r="F392" s="418"/>
      <c r="G392" s="418"/>
      <c r="H392" s="418"/>
      <c r="I392" s="418"/>
      <c r="J392" s="418"/>
      <c r="K392" s="418"/>
      <c r="L392" s="418"/>
      <c r="M392" s="418"/>
      <c r="N392" s="418"/>
      <c r="O392" s="418"/>
      <c r="P392" s="418"/>
      <c r="Q392" s="418"/>
      <c r="R392" s="418"/>
      <c r="S392" s="418"/>
      <c r="T392" s="468"/>
      <c r="U392" s="418"/>
      <c r="V392" s="418"/>
      <c r="W392" s="418"/>
      <c r="X392" s="418"/>
      <c r="Y392" s="418"/>
      <c r="Z392" s="418"/>
      <c r="AA392" s="418"/>
      <c r="AB392" s="418"/>
      <c r="AC392" s="418"/>
      <c r="AD392" s="442"/>
      <c r="AE392" s="418"/>
      <c r="AF392" s="418"/>
      <c r="AG392" s="418"/>
      <c r="AH392" s="418"/>
      <c r="AI392" s="418"/>
      <c r="AJ392" s="418"/>
      <c r="AK392" s="418"/>
      <c r="AL392" s="418"/>
      <c r="AM392" s="418"/>
      <c r="AN392" s="271"/>
    </row>
    <row r="393" spans="1:40" s="75" customFormat="1">
      <c r="A393" s="443"/>
      <c r="B393" s="267"/>
      <c r="C393" s="268"/>
      <c r="D393" s="422"/>
      <c r="E393" s="422"/>
      <c r="F393" s="422"/>
      <c r="G393" s="422"/>
      <c r="H393" s="422"/>
      <c r="I393" s="419"/>
      <c r="J393" s="419"/>
      <c r="K393" s="419"/>
      <c r="L393" s="423"/>
      <c r="M393" s="423"/>
      <c r="N393" s="423"/>
      <c r="O393" s="423"/>
      <c r="P393" s="423"/>
      <c r="Q393" s="444"/>
      <c r="R393" s="433"/>
      <c r="S393" s="433"/>
      <c r="T393" s="467"/>
      <c r="U393" s="426"/>
      <c r="V393" s="426"/>
      <c r="W393" s="426"/>
      <c r="X393" s="426"/>
      <c r="Y393" s="426"/>
      <c r="Z393" s="426"/>
      <c r="AA393" s="426"/>
      <c r="AB393" s="426"/>
      <c r="AC393" s="426"/>
      <c r="AD393" s="441"/>
      <c r="AE393" s="426"/>
      <c r="AF393" s="426"/>
      <c r="AG393" s="426"/>
      <c r="AH393" s="426"/>
      <c r="AI393" s="426"/>
      <c r="AJ393" s="78"/>
      <c r="AK393" s="426"/>
      <c r="AL393" s="78"/>
      <c r="AM393" s="78"/>
      <c r="AN393" s="271"/>
    </row>
    <row r="394" spans="1:40" s="75" customFormat="1">
      <c r="A394" s="443"/>
      <c r="B394" s="267"/>
      <c r="C394" s="268"/>
      <c r="D394" s="422"/>
      <c r="E394" s="422"/>
      <c r="F394" s="422"/>
      <c r="G394" s="422"/>
      <c r="H394" s="422"/>
      <c r="I394" s="419"/>
      <c r="J394" s="419"/>
      <c r="K394" s="419"/>
      <c r="L394" s="423"/>
      <c r="M394" s="423"/>
      <c r="N394" s="423"/>
      <c r="O394" s="423"/>
      <c r="P394" s="423"/>
      <c r="Q394" s="444"/>
      <c r="R394" s="433"/>
      <c r="S394" s="433"/>
      <c r="T394" s="467"/>
      <c r="U394" s="426"/>
      <c r="V394" s="426"/>
      <c r="W394" s="426"/>
      <c r="X394" s="426"/>
      <c r="Y394" s="426"/>
      <c r="Z394" s="426"/>
      <c r="AA394" s="426"/>
      <c r="AB394" s="426"/>
      <c r="AC394" s="426"/>
      <c r="AD394" s="441"/>
      <c r="AE394" s="426"/>
      <c r="AF394" s="426"/>
      <c r="AG394" s="426"/>
      <c r="AH394" s="426"/>
      <c r="AI394" s="426"/>
      <c r="AJ394" s="78"/>
      <c r="AK394" s="426"/>
      <c r="AL394" s="78"/>
      <c r="AM394" s="78"/>
      <c r="AN394" s="271"/>
    </row>
    <row r="395" spans="1:40" s="75" customFormat="1">
      <c r="A395" s="443"/>
      <c r="B395" s="267"/>
      <c r="C395" s="268"/>
      <c r="D395" s="422"/>
      <c r="E395" s="422"/>
      <c r="F395" s="422"/>
      <c r="G395" s="422"/>
      <c r="H395" s="422"/>
      <c r="I395" s="419"/>
      <c r="J395" s="419"/>
      <c r="K395" s="419"/>
      <c r="L395" s="423"/>
      <c r="M395" s="423"/>
      <c r="N395" s="423"/>
      <c r="O395" s="423"/>
      <c r="P395" s="423"/>
      <c r="Q395" s="444"/>
      <c r="R395" s="433"/>
      <c r="S395" s="433"/>
      <c r="T395" s="467"/>
      <c r="U395" s="426"/>
      <c r="V395" s="426"/>
      <c r="W395" s="426"/>
      <c r="X395" s="426"/>
      <c r="Y395" s="426"/>
      <c r="Z395" s="426"/>
      <c r="AA395" s="426"/>
      <c r="AB395" s="426"/>
      <c r="AC395" s="426"/>
      <c r="AD395" s="441"/>
      <c r="AE395" s="426"/>
      <c r="AF395" s="426"/>
      <c r="AG395" s="426"/>
      <c r="AH395" s="426"/>
      <c r="AI395" s="426"/>
      <c r="AJ395" s="78"/>
      <c r="AK395" s="426"/>
      <c r="AL395" s="78"/>
      <c r="AM395" s="78"/>
      <c r="AN395" s="271"/>
    </row>
    <row r="396" spans="1:40" s="75" customFormat="1">
      <c r="A396" s="443"/>
      <c r="B396" s="267"/>
      <c r="C396" s="268"/>
      <c r="D396" s="422"/>
      <c r="E396" s="422"/>
      <c r="F396" s="422"/>
      <c r="G396" s="422"/>
      <c r="H396" s="422"/>
      <c r="I396" s="421"/>
      <c r="J396" s="421"/>
      <c r="K396" s="421"/>
      <c r="L396" s="423"/>
      <c r="M396" s="423"/>
      <c r="N396" s="423"/>
      <c r="O396" s="423"/>
      <c r="P396" s="433"/>
      <c r="Q396" s="444"/>
      <c r="R396" s="433"/>
      <c r="S396" s="433"/>
      <c r="T396" s="467"/>
      <c r="U396" s="426"/>
      <c r="V396" s="426"/>
      <c r="W396" s="426"/>
      <c r="X396" s="426"/>
      <c r="Y396" s="426"/>
      <c r="Z396" s="426"/>
      <c r="AA396" s="426"/>
      <c r="AB396" s="426"/>
      <c r="AC396" s="426"/>
      <c r="AD396" s="441"/>
      <c r="AE396" s="426"/>
      <c r="AF396" s="426"/>
      <c r="AG396" s="426"/>
      <c r="AH396" s="426"/>
      <c r="AI396" s="426"/>
      <c r="AJ396" s="78"/>
      <c r="AK396" s="426"/>
      <c r="AL396" s="78"/>
      <c r="AM396" s="78"/>
      <c r="AN396" s="271"/>
    </row>
    <row r="397" spans="1:40" s="75" customFormat="1">
      <c r="A397" s="78"/>
      <c r="B397" s="78"/>
      <c r="C397" s="446"/>
      <c r="D397" s="78"/>
      <c r="E397" s="78"/>
      <c r="F397" s="78"/>
      <c r="G397" s="78"/>
      <c r="H397" s="78"/>
      <c r="I397" s="78"/>
      <c r="J397" s="78"/>
      <c r="K397" s="78"/>
      <c r="L397" s="426"/>
      <c r="M397" s="426"/>
      <c r="N397" s="426"/>
      <c r="O397" s="426"/>
      <c r="P397" s="78"/>
      <c r="Q397" s="78"/>
      <c r="R397" s="78"/>
      <c r="S397" s="78"/>
      <c r="T397" s="467"/>
      <c r="U397" s="426"/>
      <c r="V397" s="78"/>
      <c r="W397" s="78"/>
      <c r="X397" s="78"/>
      <c r="Y397" s="426"/>
      <c r="Z397" s="78"/>
      <c r="AA397" s="78"/>
      <c r="AB397" s="78"/>
      <c r="AC397" s="78"/>
      <c r="AD397" s="441"/>
      <c r="AE397" s="78"/>
      <c r="AF397" s="78"/>
      <c r="AG397" s="78"/>
      <c r="AH397" s="78"/>
      <c r="AI397" s="426"/>
      <c r="AJ397" s="78"/>
      <c r="AK397" s="426"/>
      <c r="AL397" s="78"/>
      <c r="AM397" s="78"/>
      <c r="AN397" s="271"/>
    </row>
    <row r="398" spans="1:40" s="75" customFormat="1">
      <c r="A398" s="78"/>
      <c r="B398" s="78"/>
      <c r="C398" s="446"/>
      <c r="D398" s="78"/>
      <c r="E398" s="78"/>
      <c r="F398" s="78"/>
      <c r="G398" s="78"/>
      <c r="H398" s="78"/>
      <c r="I398" s="78"/>
      <c r="J398" s="78"/>
      <c r="K398" s="78"/>
      <c r="L398" s="426"/>
      <c r="M398" s="426"/>
      <c r="N398" s="426"/>
      <c r="O398" s="426"/>
      <c r="P398" s="78"/>
      <c r="Q398" s="78"/>
      <c r="R398" s="78"/>
      <c r="S398" s="78"/>
      <c r="T398" s="467"/>
      <c r="U398" s="426"/>
      <c r="V398" s="78"/>
      <c r="W398" s="78"/>
      <c r="X398" s="78"/>
      <c r="Y398" s="426"/>
      <c r="Z398" s="78"/>
      <c r="AA398" s="78"/>
      <c r="AB398" s="78"/>
      <c r="AC398" s="78"/>
      <c r="AD398" s="441"/>
      <c r="AE398" s="78"/>
      <c r="AF398" s="78"/>
      <c r="AG398" s="78"/>
      <c r="AH398" s="78"/>
      <c r="AI398" s="426"/>
      <c r="AJ398" s="78"/>
      <c r="AK398" s="426"/>
      <c r="AL398" s="78"/>
      <c r="AM398" s="78"/>
      <c r="AN398" s="271"/>
    </row>
    <row r="399" spans="1:40" s="75" customFormat="1">
      <c r="A399" s="78"/>
      <c r="B399" s="78"/>
      <c r="C399" s="446"/>
      <c r="D399" s="78"/>
      <c r="E399" s="78"/>
      <c r="F399" s="78"/>
      <c r="G399" s="78"/>
      <c r="H399" s="78"/>
      <c r="I399" s="78"/>
      <c r="J399" s="78"/>
      <c r="K399" s="78"/>
      <c r="L399" s="426"/>
      <c r="M399" s="426"/>
      <c r="N399" s="426"/>
      <c r="O399" s="426"/>
      <c r="P399" s="78"/>
      <c r="Q399" s="78"/>
      <c r="R399" s="78"/>
      <c r="S399" s="78"/>
      <c r="T399" s="467"/>
      <c r="U399" s="426"/>
      <c r="V399" s="78"/>
      <c r="W399" s="78"/>
      <c r="X399" s="78"/>
      <c r="Y399" s="426"/>
      <c r="Z399" s="78"/>
      <c r="AA399" s="78"/>
      <c r="AB399" s="78"/>
      <c r="AC399" s="78"/>
      <c r="AD399" s="441"/>
      <c r="AE399" s="78"/>
      <c r="AF399" s="78"/>
      <c r="AG399" s="78"/>
      <c r="AH399" s="78"/>
      <c r="AI399" s="426"/>
      <c r="AJ399" s="78"/>
      <c r="AK399" s="426"/>
      <c r="AL399" s="78"/>
      <c r="AM399" s="78"/>
      <c r="AN399" s="271"/>
    </row>
    <row r="400" spans="1:40" s="75" customFormat="1">
      <c r="A400" s="78"/>
      <c r="B400" s="78"/>
      <c r="C400" s="446"/>
      <c r="D400" s="78"/>
      <c r="E400" s="78"/>
      <c r="F400" s="78"/>
      <c r="G400" s="78"/>
      <c r="H400" s="78"/>
      <c r="I400" s="78"/>
      <c r="J400" s="78"/>
      <c r="K400" s="78"/>
      <c r="L400" s="426"/>
      <c r="M400" s="426"/>
      <c r="N400" s="426"/>
      <c r="O400" s="426"/>
      <c r="P400" s="78"/>
      <c r="Q400" s="78"/>
      <c r="R400" s="78"/>
      <c r="S400" s="78"/>
      <c r="T400" s="467"/>
      <c r="U400" s="426"/>
      <c r="V400" s="78"/>
      <c r="W400" s="78"/>
      <c r="X400" s="78"/>
      <c r="Y400" s="426"/>
      <c r="Z400" s="78"/>
      <c r="AA400" s="78"/>
      <c r="AB400" s="78"/>
      <c r="AC400" s="78"/>
      <c r="AD400" s="441"/>
      <c r="AE400" s="78"/>
      <c r="AF400" s="78"/>
      <c r="AG400" s="78"/>
      <c r="AH400" s="78"/>
      <c r="AI400" s="426"/>
      <c r="AJ400" s="78"/>
      <c r="AK400" s="426"/>
      <c r="AL400" s="78"/>
      <c r="AM400" s="78"/>
      <c r="AN400" s="271"/>
    </row>
    <row r="401" spans="1:40" s="75" customFormat="1">
      <c r="A401" s="78"/>
      <c r="B401" s="78"/>
      <c r="C401" s="446"/>
      <c r="D401" s="78"/>
      <c r="E401" s="78"/>
      <c r="F401" s="78"/>
      <c r="G401" s="78"/>
      <c r="H401" s="78"/>
      <c r="I401" s="78"/>
      <c r="J401" s="78"/>
      <c r="K401" s="78"/>
      <c r="L401" s="426"/>
      <c r="M401" s="426"/>
      <c r="N401" s="426"/>
      <c r="O401" s="426"/>
      <c r="P401" s="78"/>
      <c r="Q401" s="78"/>
      <c r="R401" s="78"/>
      <c r="S401" s="78"/>
      <c r="T401" s="467"/>
      <c r="U401" s="426"/>
      <c r="V401" s="78"/>
      <c r="W401" s="78"/>
      <c r="X401" s="78"/>
      <c r="Y401" s="426"/>
      <c r="Z401" s="78"/>
      <c r="AA401" s="78"/>
      <c r="AB401" s="78"/>
      <c r="AC401" s="78"/>
      <c r="AD401" s="441"/>
      <c r="AE401" s="78"/>
      <c r="AF401" s="78"/>
      <c r="AG401" s="78"/>
      <c r="AH401" s="78"/>
      <c r="AI401" s="426"/>
      <c r="AJ401" s="78"/>
      <c r="AK401" s="426"/>
      <c r="AL401" s="78"/>
      <c r="AM401" s="78"/>
      <c r="AN401" s="271"/>
    </row>
    <row r="402" spans="1:40" s="75" customFormat="1">
      <c r="A402" s="78"/>
      <c r="B402" s="78"/>
      <c r="C402" s="446"/>
      <c r="D402" s="78"/>
      <c r="E402" s="78"/>
      <c r="F402" s="78"/>
      <c r="G402" s="78"/>
      <c r="H402" s="78"/>
      <c r="I402" s="78"/>
      <c r="J402" s="78"/>
      <c r="K402" s="78"/>
      <c r="L402" s="426"/>
      <c r="M402" s="426"/>
      <c r="N402" s="426"/>
      <c r="O402" s="426"/>
      <c r="P402" s="78"/>
      <c r="Q402" s="78"/>
      <c r="R402" s="78"/>
      <c r="S402" s="78"/>
      <c r="T402" s="467"/>
      <c r="U402" s="426"/>
      <c r="V402" s="78"/>
      <c r="W402" s="78"/>
      <c r="X402" s="78"/>
      <c r="Y402" s="426"/>
      <c r="Z402" s="78"/>
      <c r="AA402" s="78"/>
      <c r="AB402" s="78"/>
      <c r="AC402" s="78"/>
      <c r="AD402" s="441"/>
      <c r="AE402" s="78"/>
      <c r="AF402" s="78"/>
      <c r="AG402" s="78"/>
      <c r="AH402" s="78"/>
      <c r="AI402" s="426"/>
      <c r="AJ402" s="78"/>
      <c r="AK402" s="426"/>
      <c r="AL402" s="78"/>
      <c r="AM402" s="78"/>
      <c r="AN402" s="271"/>
    </row>
    <row r="403" spans="1:40" s="75" customFormat="1">
      <c r="A403" s="78"/>
      <c r="B403" s="78"/>
      <c r="C403" s="446"/>
      <c r="D403" s="78"/>
      <c r="E403" s="78"/>
      <c r="F403" s="78"/>
      <c r="G403" s="78"/>
      <c r="H403" s="78"/>
      <c r="I403" s="78"/>
      <c r="J403" s="78"/>
      <c r="K403" s="78"/>
      <c r="L403" s="426"/>
      <c r="M403" s="426"/>
      <c r="N403" s="426"/>
      <c r="O403" s="426"/>
      <c r="P403" s="78"/>
      <c r="Q403" s="78"/>
      <c r="R403" s="78"/>
      <c r="S403" s="78"/>
      <c r="T403" s="467"/>
      <c r="U403" s="426"/>
      <c r="V403" s="78"/>
      <c r="W403" s="78"/>
      <c r="X403" s="78"/>
      <c r="Y403" s="426"/>
      <c r="Z403" s="78"/>
      <c r="AA403" s="78"/>
      <c r="AB403" s="78"/>
      <c r="AC403" s="78"/>
      <c r="AD403" s="441"/>
      <c r="AE403" s="78"/>
      <c r="AF403" s="78"/>
      <c r="AG403" s="78"/>
      <c r="AH403" s="78"/>
      <c r="AI403" s="426"/>
      <c r="AJ403" s="78"/>
      <c r="AK403" s="426"/>
      <c r="AL403" s="78"/>
      <c r="AM403" s="78"/>
      <c r="AN403" s="271"/>
    </row>
    <row r="404" spans="1:40" s="75" customFormat="1">
      <c r="A404" s="78"/>
      <c r="B404" s="78"/>
      <c r="C404" s="446"/>
      <c r="D404" s="78"/>
      <c r="E404" s="78"/>
      <c r="F404" s="78"/>
      <c r="G404" s="78"/>
      <c r="H404" s="78"/>
      <c r="I404" s="78"/>
      <c r="J404" s="78"/>
      <c r="K404" s="78"/>
      <c r="L404" s="426"/>
      <c r="M404" s="426"/>
      <c r="N404" s="426"/>
      <c r="O404" s="426"/>
      <c r="P404" s="78"/>
      <c r="Q404" s="78"/>
      <c r="R404" s="78"/>
      <c r="S404" s="78"/>
      <c r="T404" s="467"/>
      <c r="U404" s="426"/>
      <c r="V404" s="78"/>
      <c r="W404" s="78"/>
      <c r="X404" s="78"/>
      <c r="Y404" s="426"/>
      <c r="Z404" s="78"/>
      <c r="AA404" s="78"/>
      <c r="AB404" s="78"/>
      <c r="AC404" s="78"/>
      <c r="AD404" s="441"/>
      <c r="AE404" s="78"/>
      <c r="AF404" s="78"/>
      <c r="AG404" s="78"/>
      <c r="AH404" s="78"/>
      <c r="AI404" s="426"/>
      <c r="AJ404" s="78"/>
      <c r="AK404" s="426"/>
      <c r="AL404" s="78"/>
      <c r="AM404" s="78"/>
      <c r="AN404" s="271"/>
    </row>
    <row r="405" spans="1:40" s="75" customFormat="1">
      <c r="A405" s="78"/>
      <c r="B405" s="78"/>
      <c r="C405" s="446"/>
      <c r="D405" s="78"/>
      <c r="E405" s="78"/>
      <c r="F405" s="78"/>
      <c r="G405" s="78"/>
      <c r="H405" s="78"/>
      <c r="I405" s="78"/>
      <c r="J405" s="78"/>
      <c r="K405" s="78"/>
      <c r="L405" s="426"/>
      <c r="M405" s="426"/>
      <c r="N405" s="426"/>
      <c r="O405" s="426"/>
      <c r="P405" s="78"/>
      <c r="Q405" s="78"/>
      <c r="R405" s="78"/>
      <c r="S405" s="78"/>
      <c r="T405" s="467"/>
      <c r="U405" s="426"/>
      <c r="V405" s="78"/>
      <c r="W405" s="78"/>
      <c r="X405" s="78"/>
      <c r="Y405" s="426"/>
      <c r="Z405" s="78"/>
      <c r="AA405" s="78"/>
      <c r="AB405" s="78"/>
      <c r="AC405" s="78"/>
      <c r="AD405" s="441"/>
      <c r="AE405" s="78"/>
      <c r="AF405" s="78"/>
      <c r="AG405" s="78"/>
      <c r="AH405" s="78"/>
      <c r="AI405" s="426"/>
      <c r="AJ405" s="78"/>
      <c r="AK405" s="426"/>
      <c r="AL405" s="78"/>
      <c r="AM405" s="78"/>
      <c r="AN405" s="271"/>
    </row>
    <row r="406" spans="1:40" s="75" customFormat="1">
      <c r="A406" s="78"/>
      <c r="B406" s="78"/>
      <c r="C406" s="446"/>
      <c r="D406" s="78"/>
      <c r="E406" s="78"/>
      <c r="F406" s="78"/>
      <c r="G406" s="78"/>
      <c r="H406" s="78"/>
      <c r="I406" s="78"/>
      <c r="J406" s="78"/>
      <c r="K406" s="78"/>
      <c r="L406" s="426"/>
      <c r="M406" s="426"/>
      <c r="N406" s="426"/>
      <c r="O406" s="426"/>
      <c r="P406" s="78"/>
      <c r="Q406" s="78"/>
      <c r="R406" s="78"/>
      <c r="S406" s="78"/>
      <c r="T406" s="467"/>
      <c r="U406" s="426"/>
      <c r="V406" s="78"/>
      <c r="W406" s="78"/>
      <c r="X406" s="78"/>
      <c r="Y406" s="426"/>
      <c r="Z406" s="78"/>
      <c r="AA406" s="78"/>
      <c r="AB406" s="78"/>
      <c r="AC406" s="78"/>
      <c r="AD406" s="441"/>
      <c r="AE406" s="78"/>
      <c r="AF406" s="78"/>
      <c r="AG406" s="78"/>
      <c r="AH406" s="78"/>
      <c r="AI406" s="426"/>
      <c r="AJ406" s="78"/>
      <c r="AK406" s="426"/>
      <c r="AL406" s="78"/>
      <c r="AM406" s="78"/>
      <c r="AN406" s="271"/>
    </row>
    <row r="407" spans="1:40" s="75" customFormat="1">
      <c r="A407" s="78"/>
      <c r="B407" s="78"/>
      <c r="C407" s="446"/>
      <c r="D407" s="78"/>
      <c r="E407" s="78"/>
      <c r="F407" s="78"/>
      <c r="G407" s="78"/>
      <c r="H407" s="78"/>
      <c r="I407" s="78"/>
      <c r="J407" s="78"/>
      <c r="K407" s="78"/>
      <c r="L407" s="426"/>
      <c r="M407" s="426"/>
      <c r="N407" s="426"/>
      <c r="O407" s="426"/>
      <c r="P407" s="78"/>
      <c r="Q407" s="78"/>
      <c r="R407" s="78"/>
      <c r="S407" s="78"/>
      <c r="T407" s="467"/>
      <c r="U407" s="426"/>
      <c r="V407" s="78"/>
      <c r="W407" s="78"/>
      <c r="X407" s="78"/>
      <c r="Y407" s="426"/>
      <c r="Z407" s="78"/>
      <c r="AA407" s="78"/>
      <c r="AB407" s="78"/>
      <c r="AC407" s="78"/>
      <c r="AD407" s="441"/>
      <c r="AE407" s="78"/>
      <c r="AF407" s="78"/>
      <c r="AG407" s="78"/>
      <c r="AH407" s="78"/>
      <c r="AI407" s="426"/>
      <c r="AJ407" s="78"/>
      <c r="AK407" s="426"/>
      <c r="AL407" s="78"/>
      <c r="AM407" s="78"/>
      <c r="AN407" s="271"/>
    </row>
    <row r="408" spans="1:40" s="75" customFormat="1">
      <c r="A408" s="78"/>
      <c r="B408" s="78"/>
      <c r="C408" s="446"/>
      <c r="D408" s="78"/>
      <c r="E408" s="78"/>
      <c r="F408" s="78"/>
      <c r="G408" s="78"/>
      <c r="H408" s="78"/>
      <c r="I408" s="78"/>
      <c r="J408" s="78"/>
      <c r="K408" s="78"/>
      <c r="L408" s="426"/>
      <c r="M408" s="426"/>
      <c r="N408" s="426"/>
      <c r="O408" s="426"/>
      <c r="P408" s="78"/>
      <c r="Q408" s="78"/>
      <c r="R408" s="78"/>
      <c r="S408" s="78"/>
      <c r="T408" s="467"/>
      <c r="U408" s="426"/>
      <c r="V408" s="78"/>
      <c r="W408" s="78"/>
      <c r="X408" s="78"/>
      <c r="Y408" s="426"/>
      <c r="Z408" s="78"/>
      <c r="AA408" s="78"/>
      <c r="AB408" s="78"/>
      <c r="AC408" s="78"/>
      <c r="AD408" s="441"/>
      <c r="AE408" s="78"/>
      <c r="AF408" s="78"/>
      <c r="AG408" s="78"/>
      <c r="AH408" s="78"/>
      <c r="AI408" s="426"/>
      <c r="AJ408" s="78"/>
      <c r="AK408" s="426"/>
      <c r="AL408" s="78"/>
      <c r="AM408" s="78"/>
      <c r="AN408" s="271"/>
    </row>
    <row r="409" spans="1:40" s="75" customFormat="1">
      <c r="A409" s="78"/>
      <c r="B409" s="78"/>
      <c r="C409" s="446"/>
      <c r="D409" s="78"/>
      <c r="E409" s="78"/>
      <c r="F409" s="78"/>
      <c r="G409" s="78"/>
      <c r="H409" s="78"/>
      <c r="I409" s="78"/>
      <c r="J409" s="78"/>
      <c r="K409" s="78"/>
      <c r="L409" s="426"/>
      <c r="M409" s="426"/>
      <c r="N409" s="426"/>
      <c r="O409" s="426"/>
      <c r="P409" s="78"/>
      <c r="Q409" s="78"/>
      <c r="R409" s="78"/>
      <c r="S409" s="78"/>
      <c r="T409" s="467"/>
      <c r="U409" s="426"/>
      <c r="V409" s="78"/>
      <c r="W409" s="78"/>
      <c r="X409" s="78"/>
      <c r="Y409" s="426"/>
      <c r="Z409" s="78"/>
      <c r="AA409" s="78"/>
      <c r="AB409" s="78"/>
      <c r="AC409" s="78"/>
      <c r="AD409" s="441"/>
      <c r="AE409" s="78"/>
      <c r="AF409" s="78"/>
      <c r="AG409" s="78"/>
      <c r="AH409" s="78"/>
      <c r="AI409" s="426"/>
      <c r="AJ409" s="78"/>
      <c r="AK409" s="426"/>
      <c r="AL409" s="78"/>
      <c r="AM409" s="78"/>
      <c r="AN409" s="271"/>
    </row>
    <row r="410" spans="1:40" s="75" customFormat="1">
      <c r="A410" s="78"/>
      <c r="B410" s="78"/>
      <c r="C410" s="446"/>
      <c r="D410" s="78"/>
      <c r="E410" s="78"/>
      <c r="F410" s="78"/>
      <c r="G410" s="78"/>
      <c r="H410" s="78"/>
      <c r="I410" s="78"/>
      <c r="J410" s="78"/>
      <c r="K410" s="78"/>
      <c r="L410" s="426"/>
      <c r="M410" s="426"/>
      <c r="N410" s="426"/>
      <c r="O410" s="426"/>
      <c r="P410" s="78"/>
      <c r="Q410" s="78"/>
      <c r="R410" s="78"/>
      <c r="S410" s="78"/>
      <c r="T410" s="467"/>
      <c r="U410" s="426"/>
      <c r="V410" s="78"/>
      <c r="W410" s="78"/>
      <c r="X410" s="78"/>
      <c r="Y410" s="426"/>
      <c r="Z410" s="78"/>
      <c r="AA410" s="78"/>
      <c r="AB410" s="78"/>
      <c r="AC410" s="78"/>
      <c r="AD410" s="441"/>
      <c r="AE410" s="78"/>
      <c r="AF410" s="78"/>
      <c r="AG410" s="78"/>
      <c r="AH410" s="78"/>
      <c r="AI410" s="426"/>
      <c r="AJ410" s="78"/>
      <c r="AK410" s="426"/>
      <c r="AL410" s="78"/>
      <c r="AM410" s="78"/>
      <c r="AN410" s="271"/>
    </row>
    <row r="411" spans="1:40">
      <c r="T411" s="469"/>
    </row>
    <row r="412" spans="1:40">
      <c r="T412" s="469"/>
    </row>
    <row r="413" spans="1:40">
      <c r="T413" s="469"/>
    </row>
    <row r="414" spans="1:40">
      <c r="T414" s="469"/>
    </row>
    <row r="415" spans="1:40">
      <c r="T415" s="469"/>
    </row>
    <row r="416" spans="1:40">
      <c r="T416" s="469"/>
    </row>
    <row r="417" spans="20:20">
      <c r="T417" s="469"/>
    </row>
    <row r="418" spans="20:20">
      <c r="T418" s="469"/>
    </row>
    <row r="419" spans="20:20">
      <c r="T419" s="469"/>
    </row>
    <row r="420" spans="20:20">
      <c r="T420" s="469"/>
    </row>
    <row r="421" spans="20:20">
      <c r="T421" s="469"/>
    </row>
    <row r="422" spans="20:20">
      <c r="T422" s="469"/>
    </row>
    <row r="423" spans="20:20">
      <c r="T423" s="469"/>
    </row>
    <row r="424" spans="20:20">
      <c r="T424" s="469"/>
    </row>
    <row r="425" spans="20:20">
      <c r="T425" s="469"/>
    </row>
    <row r="426" spans="20:20">
      <c r="T426" s="469"/>
    </row>
    <row r="427" spans="20:20">
      <c r="T427" s="469"/>
    </row>
    <row r="428" spans="20:20">
      <c r="T428" s="469"/>
    </row>
    <row r="429" spans="20:20">
      <c r="T429" s="469"/>
    </row>
    <row r="430" spans="20:20">
      <c r="T430" s="469"/>
    </row>
    <row r="431" spans="20:20">
      <c r="T431" s="469"/>
    </row>
    <row r="432" spans="20:20">
      <c r="T432" s="469"/>
    </row>
    <row r="433" spans="20:20">
      <c r="T433" s="469"/>
    </row>
    <row r="434" spans="20:20">
      <c r="T434" s="469"/>
    </row>
    <row r="435" spans="20:20">
      <c r="T435" s="469"/>
    </row>
    <row r="436" spans="20:20">
      <c r="T436" s="469"/>
    </row>
    <row r="437" spans="20:20">
      <c r="T437" s="469"/>
    </row>
    <row r="438" spans="20:20">
      <c r="T438" s="469"/>
    </row>
    <row r="439" spans="20:20">
      <c r="T439" s="469"/>
    </row>
    <row r="440" spans="20:20">
      <c r="T440" s="469"/>
    </row>
    <row r="441" spans="20:20">
      <c r="T441" s="469"/>
    </row>
    <row r="442" spans="20:20">
      <c r="T442" s="469"/>
    </row>
    <row r="443" spans="20:20">
      <c r="T443" s="469"/>
    </row>
    <row r="444" spans="20:20">
      <c r="T444" s="469"/>
    </row>
    <row r="445" spans="20:20">
      <c r="T445" s="469"/>
    </row>
    <row r="446" spans="20:20">
      <c r="T446" s="469"/>
    </row>
    <row r="447" spans="20:20">
      <c r="T447" s="469"/>
    </row>
    <row r="448" spans="20:20">
      <c r="T448" s="469"/>
    </row>
    <row r="449" spans="20:20">
      <c r="T449" s="469"/>
    </row>
    <row r="450" spans="20:20">
      <c r="T450" s="469"/>
    </row>
    <row r="451" spans="20:20">
      <c r="T451" s="469"/>
    </row>
    <row r="452" spans="20:20">
      <c r="T452" s="469"/>
    </row>
    <row r="453" spans="20:20">
      <c r="T453" s="469"/>
    </row>
    <row r="454" spans="20:20">
      <c r="T454" s="469"/>
    </row>
    <row r="455" spans="20:20">
      <c r="T455" s="469"/>
    </row>
    <row r="456" spans="20:20">
      <c r="T456" s="469"/>
    </row>
    <row r="457" spans="20:20">
      <c r="T457" s="469"/>
    </row>
    <row r="458" spans="20:20">
      <c r="T458" s="469"/>
    </row>
    <row r="459" spans="20:20">
      <c r="T459" s="469"/>
    </row>
    <row r="460" spans="20:20">
      <c r="T460" s="469"/>
    </row>
    <row r="461" spans="20:20">
      <c r="T461" s="469"/>
    </row>
    <row r="462" spans="20:20">
      <c r="T462" s="469"/>
    </row>
    <row r="463" spans="20:20">
      <c r="T463" s="469"/>
    </row>
    <row r="464" spans="20:20">
      <c r="T464" s="469"/>
    </row>
    <row r="465" spans="20:20">
      <c r="T465" s="469"/>
    </row>
    <row r="466" spans="20:20">
      <c r="T466" s="469"/>
    </row>
    <row r="467" spans="20:20">
      <c r="T467" s="469"/>
    </row>
    <row r="468" spans="20:20">
      <c r="T468" s="469"/>
    </row>
    <row r="469" spans="20:20">
      <c r="T469" s="469"/>
    </row>
    <row r="470" spans="20:20">
      <c r="T470" s="469"/>
    </row>
    <row r="471" spans="20:20">
      <c r="T471" s="469"/>
    </row>
    <row r="472" spans="20:20">
      <c r="T472" s="469"/>
    </row>
    <row r="473" spans="20:20">
      <c r="T473" s="469"/>
    </row>
    <row r="474" spans="20:20">
      <c r="T474" s="469"/>
    </row>
    <row r="475" spans="20:20">
      <c r="T475" s="469"/>
    </row>
    <row r="476" spans="20:20">
      <c r="T476" s="469"/>
    </row>
    <row r="477" spans="20:20">
      <c r="T477" s="469"/>
    </row>
    <row r="478" spans="20:20">
      <c r="T478" s="469"/>
    </row>
    <row r="479" spans="20:20">
      <c r="T479" s="469"/>
    </row>
    <row r="480" spans="20:20">
      <c r="T480" s="469"/>
    </row>
    <row r="481" spans="20:20">
      <c r="T481" s="469"/>
    </row>
    <row r="482" spans="20:20">
      <c r="T482" s="469"/>
    </row>
    <row r="483" spans="20:20">
      <c r="T483" s="469"/>
    </row>
    <row r="484" spans="20:20">
      <c r="T484" s="469"/>
    </row>
    <row r="485" spans="20:20">
      <c r="T485" s="469"/>
    </row>
    <row r="486" spans="20:20">
      <c r="T486" s="469"/>
    </row>
    <row r="487" spans="20:20">
      <c r="T487" s="469"/>
    </row>
    <row r="488" spans="20:20">
      <c r="T488" s="469"/>
    </row>
    <row r="489" spans="20:20">
      <c r="T489" s="469"/>
    </row>
    <row r="490" spans="20:20">
      <c r="T490" s="469"/>
    </row>
  </sheetData>
  <mergeCells count="7">
    <mergeCell ref="AJ341:AL342"/>
    <mergeCell ref="D7:G7"/>
    <mergeCell ref="H7:K7"/>
    <mergeCell ref="D4:AM4"/>
    <mergeCell ref="L7:O7"/>
    <mergeCell ref="P5:Y5"/>
    <mergeCell ref="Z5:AH5"/>
  </mergeCells>
  <phoneticPr fontId="0" type="noConversion"/>
  <pageMargins left="0.39370078740157483" right="0.39370078740157483" top="0.39370078740157483" bottom="0.39370078740157483" header="0.51181102362204722" footer="0.51181102362204722"/>
  <pageSetup paperSize="8" scale="59" fitToWidth="2" fitToHeight="6" orientation="landscape"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10</vt:i4>
      </vt:variant>
    </vt:vector>
  </HeadingPairs>
  <TitlesOfParts>
    <vt:vector size="15" baseType="lpstr">
      <vt:lpstr>Instructions</vt:lpstr>
      <vt:lpstr>QRC4 Form</vt:lpstr>
      <vt:lpstr>Validation</vt:lpstr>
      <vt:lpstr>Parameters</vt:lpstr>
      <vt:lpstr>Data</vt:lpstr>
      <vt:lpstr>_QRC4</vt:lpstr>
      <vt:lpstr>CONTACT</vt:lpstr>
      <vt:lpstr>datar</vt:lpstr>
      <vt:lpstr>LAlist</vt:lpstr>
      <vt:lpstr>lanames</vt:lpstr>
      <vt:lpstr>Instructions!Print_Area</vt:lpstr>
      <vt:lpstr>'QRC4 Form'!Print_Area</vt:lpstr>
      <vt:lpstr>Validation!Print_Area</vt:lpstr>
      <vt:lpstr>Data!Print_Titles</vt:lpstr>
      <vt:lpstr>Table</vt:lpstr>
    </vt:vector>
  </TitlesOfParts>
  <Company>DETR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DETR</dc:creator>
  <cp:lastModifiedBy>nbrocklebank</cp:lastModifiedBy>
  <cp:lastPrinted>2014-05-07T06:33:02Z</cp:lastPrinted>
  <dcterms:created xsi:type="dcterms:W3CDTF">2002-10-30T10:36:04Z</dcterms:created>
  <dcterms:modified xsi:type="dcterms:W3CDTF">2014-05-07T09:32:13Z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a38ba334-812a-4fd6-952d-2e8fdfce73fc</vt:lpwstr>
  </property>
  <property fmtid="{D5CDD505-2E9C-101B-9397-08002B2CF9AE}" pid="3" name="bjSaver">
    <vt:lpwstr>R0pVd106rFXx61mB5XOoeOl7DzOBLWfF</vt:lpwstr>
  </property>
  <property fmtid="{D5CDD505-2E9C-101B-9397-08002B2CF9AE}" pid="4" name="bjDocumentSecurityLabel">
    <vt:lpwstr>No Marking</vt:lpwstr>
  </property>
</Properties>
</file>